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L:\Budget\"/>
    </mc:Choice>
  </mc:AlternateContent>
  <xr:revisionPtr revIDLastSave="0" documentId="13_ncr:1_{6B637CEE-F3A1-4000-9E8E-4212AB385EFF}" xr6:coauthVersionLast="47" xr6:coauthVersionMax="47" xr10:uidLastSave="{00000000-0000-0000-0000-000000000000}"/>
  <bookViews>
    <workbookView xWindow="-120" yWindow="-120" windowWidth="29040" windowHeight="15840" activeTab="2" xr2:uid="{05B10A98-72F4-4890-A94E-41BEB3567A31}"/>
  </bookViews>
  <sheets>
    <sheet name="GF" sheetId="1" r:id="rId1"/>
    <sheet name="WF" sheetId="2" r:id="rId2"/>
    <sheet name="Salaries" sheetId="3" r:id="rId3"/>
    <sheet name="Sheet4" sheetId="4" r:id="rId4"/>
  </sheets>
  <definedNames>
    <definedName name="_xlnm.Print_Titles" localSheetId="0">GF!$A:$F,GF!$16:$16</definedName>
    <definedName name="QB_COLUMN_29" localSheetId="0" hidden="1">GF!$G$16</definedName>
    <definedName name="QB_DATA_0" localSheetId="0" hidden="1">GF!$42:$42,GF!$43:$43,GF!$44:$44,GF!$45:$45,GF!$46:$46,GF!$47:$47,GF!$48:$48,GF!$49:$49,GF!$50:$50,GF!$51:$51,GF!$52:$52,GF!$53:$53,GF!$54:$54,GF!$55:$55,GF!$56:$56,GF!$57:$57</definedName>
    <definedName name="QB_DATA_1" localSheetId="0" hidden="1">GF!$58:$58,GF!$59:$59,GF!$60:$60,GF!$61:$61,GF!$62:$62,GF!$63:$63,GF!$64:$64,GF!$65:$65,GF!$66:$66,GF!$67:$67,GF!#REF!,GF!$19:$19,GF!$20:$20,GF!$22:$22,GF!$23:$23,GF!$25:$25</definedName>
    <definedName name="QB_DATA_2" localSheetId="0" hidden="1">GF!$26:$26,GF!$27:$27,GF!#REF!,GF!#REF!,GF!$31:$31,GF!$34:$34,GF!$40:$40,GF!$68:$68,GF!$69:$69,GF!$70:$70,GF!$73:$73,GF!$74:$74,GF!$75:$75,GF!$76:$76,GF!$77:$77,GF!$78:$78</definedName>
    <definedName name="QB_DATA_3" localSheetId="0" hidden="1">GF!$79:$79,GF!$80:$80,GF!$81:$81,GF!$82:$82,GF!$83:$83,GF!$84:$84,GF!$85:$85,GF!$86:$86,GF!$87:$87,GF!$88:$88,GF!$89:$89,GF!$90:$90,GF!$91:$91,GF!$92:$92,GF!$93:$93,GF!$94:$94</definedName>
    <definedName name="QB_DATA_4" localSheetId="0" hidden="1">GF!$95:$95,GF!$98:$98,GF!$99:$99,GF!$100:$100,GF!$102:$102,GF!$105:$105,GF!$106:$106,GF!#REF!,GF!$109:$109,GF!$131:$131,GF!$133:$133,GF!$134:$134,GF!$136:$136,GF!$137:$137,GF!$138:$138,GF!$139:$139</definedName>
    <definedName name="QB_DATA_5" localSheetId="0" hidden="1">GF!$140:$140,GF!$141:$141,GF!$142:$142,GF!$143:$143,GF!$144:$144,GF!$145:$145,GF!$146:$146,GF!$147:$147,GF!$148:$148,GF!$149:$149,GF!$150:$150,GF!$151:$151,GF!$152:$152,GF!$153:$153,GF!$155:$155,GF!$158:$158</definedName>
    <definedName name="QB_DATA_6" localSheetId="0" hidden="1">GF!$159:$159,GF!$160:$160,GF!$161:$161,GF!$162:$162,GF!$163:$163,GF!$164:$164,GF!$165:$165,GF!$166:$166,GF!$167:$167,GF!$168:$168,GF!$113:$113,GF!$114:$114,GF!$115:$115,GF!$116:$116,GF!$130:$130,GF!$170:$170</definedName>
    <definedName name="QB_DATA_7" localSheetId="0" hidden="1">GF!$174:$174,GF!$117:$117,GF!$119:$119,GF!#REF!,GF!$124:$124,GF!$125:$125,GF!$126:$126,GF!$128:$128,GF!$129:$129,GF!$180:$180,GF!$181:$181,GF!$183:$183,GF!$184:$184,GF!$190:$190,GF!$193:$193,GF!$194:$194</definedName>
    <definedName name="QB_DATA_8" localSheetId="0" hidden="1">GF!$195:$195,GF!$197:$197,GF!$200:$200,GF!$203:$203,GF!$204:$204,GF!$208:$208,GF!$210:$210,GF!$211:$211,GF!$212:$212,GF!$213:$213,GF!$214:$214,GF!$217:$217,GF!$222:$222,GF!$223:$223,GF!$224:$224,GF!$179:$179</definedName>
    <definedName name="QB_DATA_9" localSheetId="0" hidden="1">GF!$225:$225,GF!$226:$226,GF!$229:$229</definedName>
    <definedName name="QB_FORMULA_0" localSheetId="0" hidden="1">GF!#REF!,GF!$G$24,GF!$G$28,GF!#REF!,GF!$G$96,GF!$G$95,GF!$G$101,GF!$G$102,GF!#REF!,GF!$G$151,GF!$G$168,GF!$G$174,GF!$G$180,GF!$G$195,GF!$G$211,GF!$G$214</definedName>
    <definedName name="QB_FORMULA_1" localSheetId="0" hidden="1">GF!$G$223,GF!$G$224,GF!$G$225,GF!$G$226,GF!$G$227</definedName>
    <definedName name="QB_ROW_101240" localSheetId="0" hidden="1">GF!#REF!</definedName>
    <definedName name="QB_ROW_103260" localSheetId="0" hidden="1">GF!$F$217</definedName>
    <definedName name="QB_ROW_104240" localSheetId="0" hidden="1">GF!$D$114</definedName>
    <definedName name="QB_ROW_106240" localSheetId="0" hidden="1">GF!$D$109</definedName>
    <definedName name="QB_ROW_117250" localSheetId="0" hidden="1">GF!$E$21</definedName>
    <definedName name="QB_ROW_118250" localSheetId="0" hidden="1">GF!$E$22</definedName>
    <definedName name="QB_ROW_123040" localSheetId="0" hidden="1">GF!#REF!</definedName>
    <definedName name="QB_ROW_123340" localSheetId="0" hidden="1">GF!#REF!</definedName>
    <definedName name="QB_ROW_130240" localSheetId="0" hidden="1">GF!$D$108</definedName>
    <definedName name="QB_ROW_13240" localSheetId="0" hidden="1">GF!$D$185</definedName>
    <definedName name="QB_ROW_133040" localSheetId="0" hidden="1">GF!$D$118</definedName>
    <definedName name="QB_ROW_133250" localSheetId="0" hidden="1">GF!$E$129</definedName>
    <definedName name="QB_ROW_133340" localSheetId="0" hidden="1">GF!$D$180</definedName>
    <definedName name="QB_ROW_134040" localSheetId="0" hidden="1">GF!$D$130</definedName>
    <definedName name="QB_ROW_134340" localSheetId="0" hidden="1">GF!$D$174</definedName>
    <definedName name="QB_ROW_135040" localSheetId="0" hidden="1">GF!$D$68</definedName>
    <definedName name="QB_ROW_135250" localSheetId="0" hidden="1">GF!$E$94</definedName>
    <definedName name="QB_ROW_135340" localSheetId="0" hidden="1">GF!$D$95</definedName>
    <definedName name="QB_ROW_136250" localSheetId="0" hidden="1">GF!$E$80</definedName>
    <definedName name="QB_ROW_138250" localSheetId="0" hidden="1">GF!$E$88</definedName>
    <definedName name="QB_ROW_139250" localSheetId="0" hidden="1">GF!$E$70</definedName>
    <definedName name="QB_ROW_140250" localSheetId="0" hidden="1">GF!$E$71</definedName>
    <definedName name="QB_ROW_141250" localSheetId="0" hidden="1">GF!$E$72</definedName>
    <definedName name="QB_ROW_142250" localSheetId="0" hidden="1">GF!$E$73</definedName>
    <definedName name="QB_ROW_143250" localSheetId="0" hidden="1">GF!$E$74</definedName>
    <definedName name="QB_ROW_144250" localSheetId="0" hidden="1">GF!$E$92</definedName>
    <definedName name="QB_ROW_146250" localSheetId="0" hidden="1">GF!$E$75</definedName>
    <definedName name="QB_ROW_148250" localSheetId="0" hidden="1">GF!$E$124</definedName>
    <definedName name="QB_ROW_149040" localSheetId="0" hidden="1">GF!$D$131</definedName>
    <definedName name="QB_ROW_149250" localSheetId="0" hidden="1">GF!$E$150</definedName>
    <definedName name="QB_ROW_149340" localSheetId="0" hidden="1">GF!$D$151</definedName>
    <definedName name="QB_ROW_150250" localSheetId="0" hidden="1">GF!$E$93</definedName>
    <definedName name="QB_ROW_15040" localSheetId="0" hidden="1">GF!$D$190</definedName>
    <definedName name="QB_ROW_151250" localSheetId="0" hidden="1">GF!$E$78</definedName>
    <definedName name="QB_ROW_152250" localSheetId="0" hidden="1">GF!$E$79</definedName>
    <definedName name="QB_ROW_15340" localSheetId="0" hidden="1">GF!$D$195</definedName>
    <definedName name="QB_ROW_155260" localSheetId="0" hidden="1">GF!$F$220</definedName>
    <definedName name="QB_ROW_157250" localSheetId="0" hidden="1">GF!$E$81</definedName>
    <definedName name="QB_ROW_158250" localSheetId="0" hidden="1">GF!$E$82</definedName>
    <definedName name="QB_ROW_159250" localSheetId="0" hidden="1">GF!$E$84</definedName>
    <definedName name="QB_ROW_161250" localSheetId="0" hidden="1">GF!$E$85</definedName>
    <definedName name="QB_ROW_162250" localSheetId="0" hidden="1">GF!$E$134</definedName>
    <definedName name="QB_ROW_163250" localSheetId="0" hidden="1">GF!$E$136</definedName>
    <definedName name="QB_ROW_164250" localSheetId="0" hidden="1">GF!$E$137</definedName>
    <definedName name="QB_ROW_165250" localSheetId="0" hidden="1">GF!$E$138</definedName>
    <definedName name="QB_ROW_166250" localSheetId="0" hidden="1">GF!$E$139</definedName>
    <definedName name="QB_ROW_167250" localSheetId="0" hidden="1">GF!$E$140</definedName>
    <definedName name="QB_ROW_168250" localSheetId="0" hidden="1">GF!$E$143</definedName>
    <definedName name="QB_ROW_169250" localSheetId="0" hidden="1">GF!$E$144</definedName>
    <definedName name="QB_ROW_172250" localSheetId="0" hidden="1">GF!$E$132</definedName>
    <definedName name="QB_ROW_173250" localSheetId="0" hidden="1">GF!$E$146</definedName>
    <definedName name="QB_ROW_174250" localSheetId="0" hidden="1">GF!$E$69</definedName>
    <definedName name="QB_ROW_177250" localSheetId="0" hidden="1">GF!$E$86</definedName>
    <definedName name="QB_ROW_178250" localSheetId="0" hidden="1">GF!$E$149</definedName>
    <definedName name="QB_ROW_179040" localSheetId="0" hidden="1">GF!$D$30</definedName>
    <definedName name="QB_ROW_179340" localSheetId="0" hidden="1">GF!$D$96</definedName>
    <definedName name="QB_ROW_180250" localSheetId="0" hidden="1">GF!$E$39</definedName>
    <definedName name="QB_ROW_181250" localSheetId="0" hidden="1">GF!$E$147</definedName>
    <definedName name="QB_ROW_182250" localSheetId="0" hidden="1">GF!$E$148</definedName>
    <definedName name="QB_ROW_18301" localSheetId="0" hidden="1">GF!#REF!</definedName>
    <definedName name="QB_ROW_184250" localSheetId="0" hidden="1">GF!$E$128</definedName>
    <definedName name="QB_ROW_185250" localSheetId="0" hidden="1">GF!$E$125</definedName>
    <definedName name="QB_ROW_189250" localSheetId="0" hidden="1">GF!$E$91</definedName>
    <definedName name="QB_ROW_19011" localSheetId="0" hidden="1">GF!$A$17</definedName>
    <definedName name="QB_ROW_192040" localSheetId="0" hidden="1">GF!$D$25</definedName>
    <definedName name="QB_ROW_192250" localSheetId="0" hidden="1">GF!$E$27</definedName>
    <definedName name="QB_ROW_192340" localSheetId="0" hidden="1">GF!$D$28</definedName>
    <definedName name="QB_ROW_19311" localSheetId="0" hidden="1">GF!$A$226</definedName>
    <definedName name="QB_ROW_193250" localSheetId="0" hidden="1">GF!$E$119</definedName>
    <definedName name="QB_ROW_194250" localSheetId="0" hidden="1">GF!$E$170</definedName>
    <definedName name="QB_ROW_199250" localSheetId="0" hidden="1">GF!$E$76</definedName>
    <definedName name="QB_ROW_200250" localSheetId="0" hidden="1">GF!$E$77</definedName>
    <definedName name="QB_ROW_20031" localSheetId="0" hidden="1">GF!$C$18</definedName>
    <definedName name="QB_ROW_201250" localSheetId="0" hidden="1">GF!$E$89</definedName>
    <definedName name="QB_ROW_202250" localSheetId="0" hidden="1">GF!$E$90</definedName>
    <definedName name="QB_ROW_203250" localSheetId="0" hidden="1">GF!$E$87</definedName>
    <definedName name="QB_ROW_20331" localSheetId="0" hidden="1">GF!$C$101</definedName>
    <definedName name="QB_ROW_204040" localSheetId="0" hidden="1">GF!$D$41</definedName>
    <definedName name="QB_ROW_204250" localSheetId="0" hidden="1">GF!$E$66</definedName>
    <definedName name="QB_ROW_204340" localSheetId="0" hidden="1">GF!$D$67</definedName>
    <definedName name="QB_ROW_205250" localSheetId="0" hidden="1">GF!$E$43</definedName>
    <definedName name="QB_ROW_206250" localSheetId="0" hidden="1">GF!$E$42</definedName>
    <definedName name="QB_ROW_207250" localSheetId="0" hidden="1">GF!$E$45</definedName>
    <definedName name="QB_ROW_208250" localSheetId="0" hidden="1">GF!$E$44</definedName>
    <definedName name="QB_ROW_209250" localSheetId="0" hidden="1">GF!$E$46</definedName>
    <definedName name="QB_ROW_210250" localSheetId="0" hidden="1">GF!$E$47</definedName>
    <definedName name="QB_ROW_21031" localSheetId="0" hidden="1">GF!$C$105</definedName>
    <definedName name="QB_ROW_211250" localSheetId="0" hidden="1">GF!$E$48</definedName>
    <definedName name="QB_ROW_212250" localSheetId="0" hidden="1">GF!$E$49</definedName>
    <definedName name="QB_ROW_213250" localSheetId="0" hidden="1">GF!$E$83</definedName>
    <definedName name="QB_ROW_21331" localSheetId="0" hidden="1">GF!$C$225</definedName>
    <definedName name="QB_ROW_214250" localSheetId="0" hidden="1">GF!$E$50</definedName>
    <definedName name="QB_ROW_215250" localSheetId="0" hidden="1">GF!$E$51</definedName>
    <definedName name="QB_ROW_216250" localSheetId="0" hidden="1">GF!$E$52</definedName>
    <definedName name="QB_ROW_217250" localSheetId="0" hidden="1">GF!$E$53</definedName>
    <definedName name="QB_ROW_218250" localSheetId="0" hidden="1">GF!$E$55</definedName>
    <definedName name="QB_ROW_219250" localSheetId="0" hidden="1">GF!$E$54</definedName>
    <definedName name="QB_ROW_220250" localSheetId="0" hidden="1">GF!#REF!</definedName>
    <definedName name="QB_ROW_221250" localSheetId="0" hidden="1">GF!$E$57</definedName>
    <definedName name="QB_ROW_222250" localSheetId="0" hidden="1">GF!$E$58</definedName>
    <definedName name="QB_ROW_223250" localSheetId="0" hidden="1">GF!#REF!</definedName>
    <definedName name="QB_ROW_22340" localSheetId="0" hidden="1">GF!$D$196</definedName>
    <definedName name="QB_ROW_2240" localSheetId="0" hidden="1">GF!$D$179</definedName>
    <definedName name="QB_ROW_224250" localSheetId="0" hidden="1">GF!#REF!</definedName>
    <definedName name="QB_ROW_225250" localSheetId="0" hidden="1">GF!#REF!</definedName>
    <definedName name="QB_ROW_227250" localSheetId="0" hidden="1">GF!$E$62</definedName>
    <definedName name="QB_ROW_228250" localSheetId="0" hidden="1">GF!$E$63</definedName>
    <definedName name="QB_ROW_229250" localSheetId="0" hidden="1">GF!$E$64</definedName>
    <definedName name="QB_ROW_230250" localSheetId="0" hidden="1">GF!$E$65</definedName>
    <definedName name="QB_ROW_231040" localSheetId="0" hidden="1">GF!$D$152</definedName>
    <definedName name="QB_ROW_231250" localSheetId="0" hidden="1">GF!$E$167</definedName>
    <definedName name="QB_ROW_231340" localSheetId="0" hidden="1">GF!$D$168</definedName>
    <definedName name="QB_ROW_232250" localSheetId="0" hidden="1">GF!$E$155</definedName>
    <definedName name="QB_ROW_23240" localSheetId="0" hidden="1">GF!$D$197</definedName>
    <definedName name="QB_ROW_233250" localSheetId="0" hidden="1">GF!$E$157</definedName>
    <definedName name="QB_ROW_234250" localSheetId="0" hidden="1">GF!$E$159</definedName>
    <definedName name="QB_ROW_235250" localSheetId="0" hidden="1">GF!$E$160</definedName>
    <definedName name="QB_ROW_236250" localSheetId="0" hidden="1">GF!$E$161</definedName>
    <definedName name="QB_ROW_237250" localSheetId="0" hidden="1">GF!$E$162</definedName>
    <definedName name="QB_ROW_238250" localSheetId="0" hidden="1">GF!$E$163</definedName>
    <definedName name="QB_ROW_239250" localSheetId="0" hidden="1">GF!$E$165</definedName>
    <definedName name="QB_ROW_240250" localSheetId="0" hidden="1">GF!$E$166</definedName>
    <definedName name="QB_ROW_241250" localSheetId="0" hidden="1">GF!$E$142</definedName>
    <definedName name="QB_ROW_243240" localSheetId="0" hidden="1">GF!$D$184</definedName>
    <definedName name="QB_ROW_246250" localSheetId="0" hidden="1">GF!$E$135</definedName>
    <definedName name="QB_ROW_247250" localSheetId="0" hidden="1">GF!$E$141</definedName>
    <definedName name="QB_ROW_248250" localSheetId="0" hidden="1">GF!$E$158</definedName>
    <definedName name="QB_ROW_249250" localSheetId="0" hidden="1">GF!$E$164</definedName>
    <definedName name="QB_ROW_250250" localSheetId="0" hidden="1">GF!$E$153</definedName>
    <definedName name="QB_ROW_252250" localSheetId="0" hidden="1">GF!$E$133</definedName>
    <definedName name="QB_ROW_253250" localSheetId="0" hidden="1">GF!$E$156</definedName>
    <definedName name="QB_ROW_25340" localSheetId="0" hidden="1">GF!$D$198</definedName>
    <definedName name="QB_ROW_254040" localSheetId="0" hidden="1">GF!$D$107</definedName>
    <definedName name="QB_ROW_254250" localSheetId="0" hidden="1">GF!#REF!</definedName>
    <definedName name="QB_ROW_254340" localSheetId="0" hidden="1">GF!#REF!</definedName>
    <definedName name="QB_ROW_267250" localSheetId="0" hidden="1">GF!$E$208</definedName>
    <definedName name="QB_ROW_268240" localSheetId="0" hidden="1">GF!$D$99</definedName>
    <definedName name="QB_ROW_269250" localSheetId="0" hidden="1">GF!$E$56</definedName>
    <definedName name="QB_ROW_270250" localSheetId="0" hidden="1">GF!$E$59</definedName>
    <definedName name="QB_ROW_271250" localSheetId="0" hidden="1">GF!$E$60</definedName>
    <definedName name="QB_ROW_272250" localSheetId="0" hidden="1">GF!$E$61</definedName>
    <definedName name="QB_ROW_279250" localSheetId="0" hidden="1">GF!$E$31</definedName>
    <definedName name="QB_ROW_280250" localSheetId="0" hidden="1">GF!$E$34</definedName>
    <definedName name="QB_ROW_28040" localSheetId="0" hidden="1">GF!$D$202</definedName>
    <definedName name="QB_ROW_281250" localSheetId="0" hidden="1">GF!$E$32</definedName>
    <definedName name="QB_ROW_282250" localSheetId="0" hidden="1">GF!$E$194</definedName>
    <definedName name="QB_ROW_283250" localSheetId="0" hidden="1">GF!#REF!</definedName>
    <definedName name="QB_ROW_28340" localSheetId="0" hidden="1">GF!$D$211</definedName>
    <definedName name="QB_ROW_284240" localSheetId="0" hidden="1">GF!#REF!</definedName>
    <definedName name="QB_ROW_285250" localSheetId="0" hidden="1">GF!$E$26</definedName>
    <definedName name="QB_ROW_286250" localSheetId="0" hidden="1">GF!#REF!</definedName>
    <definedName name="QB_ROW_287250" localSheetId="0" hidden="1">GF!$E$121</definedName>
    <definedName name="QB_ROW_288250" localSheetId="0" hidden="1">GF!$E$126</definedName>
    <definedName name="QB_ROW_289250" localSheetId="0" hidden="1">GF!$E$123</definedName>
    <definedName name="QB_ROW_290250" localSheetId="0" hidden="1">GF!$E$145</definedName>
    <definedName name="QB_ROW_292250" localSheetId="0" hidden="1">GF!#REF!</definedName>
    <definedName name="QB_ROW_29250" localSheetId="0" hidden="1">GF!$E$209</definedName>
    <definedName name="QB_ROW_30250" localSheetId="0" hidden="1">GF!$E$210</definedName>
    <definedName name="QB_ROW_33040" localSheetId="0" hidden="1">GF!$D$212</definedName>
    <definedName name="QB_ROW_33340" localSheetId="0" hidden="1">GF!$D$214</definedName>
    <definedName name="QB_ROW_36250" localSheetId="0" hidden="1">GF!$E$213</definedName>
    <definedName name="QB_ROW_37040" localSheetId="0" hidden="1">GF!$D$215</definedName>
    <definedName name="QB_ROW_37340" localSheetId="0" hidden="1">GF!$D$224</definedName>
    <definedName name="QB_ROW_38050" localSheetId="0" hidden="1">GF!$E$216</definedName>
    <definedName name="QB_ROW_38260" localSheetId="0" hidden="1">GF!#REF!</definedName>
    <definedName name="QB_ROW_38350" localSheetId="0" hidden="1">GF!$E$223</definedName>
    <definedName name="QB_ROW_40240" localSheetId="0" hidden="1">GF!$D$98</definedName>
    <definedName name="QB_ROW_41240" localSheetId="0" hidden="1">GF!$D$19</definedName>
    <definedName name="QB_ROW_47040" localSheetId="0" hidden="1">GF!$D$20</definedName>
    <definedName name="QB_ROW_47340" localSheetId="0" hidden="1">GF!$D$24</definedName>
    <definedName name="QB_ROW_48240" localSheetId="0" hidden="1">GF!$D$29</definedName>
    <definedName name="QB_ROW_50240" localSheetId="0" hidden="1">GF!$D$117</definedName>
    <definedName name="QB_ROW_54240" localSheetId="0" hidden="1">GF!$D$181</definedName>
    <definedName name="QB_ROW_57260" localSheetId="0" hidden="1">GF!$F$222</definedName>
    <definedName name="QB_ROW_58260" localSheetId="0" hidden="1">GF!$F$219</definedName>
    <definedName name="QB_ROW_59240" localSheetId="0" hidden="1">GF!$D$106</definedName>
    <definedName name="QB_ROW_60240" localSheetId="0" hidden="1">GF!$D$113</definedName>
    <definedName name="QB_ROW_61250" localSheetId="0" hidden="1">GF!$E$204</definedName>
    <definedName name="QB_ROW_62240" localSheetId="0" hidden="1">GF!$D$183</definedName>
    <definedName name="QB_ROW_6240" localSheetId="0" hidden="1">GF!$D$100</definedName>
    <definedName name="QB_ROW_71240" localSheetId="0" hidden="1">GF!$D$116</definedName>
    <definedName name="QB_ROW_72250" localSheetId="0" hidden="1">GF!$E$193</definedName>
    <definedName name="QB_ROW_86250" localSheetId="0" hidden="1">GF!$E$23</definedName>
    <definedName name="QB_ROW_86321" localSheetId="0" hidden="1">GF!$B$102</definedName>
    <definedName name="QB_ROW_87240" localSheetId="0" hidden="1">GF!$D$115</definedName>
    <definedName name="QB_ROW_98250" localSheetId="0" hidden="1">GF!$E$203</definedName>
    <definedName name="QB_ROW_99260" localSheetId="0" hidden="1">GF!$F$218</definedName>
    <definedName name="QBCANSUPPORTUPDATE" localSheetId="0">TRUE</definedName>
    <definedName name="QBCOMPANYFILENAME" localSheetId="0">"C:\Users\Public\Documents\Intuit\QuickBooks\Company Files\City of Richland General Fund 783.QBW"</definedName>
    <definedName name="QBENDDATE" localSheetId="0">20211231</definedName>
    <definedName name="QBHEADERSONSCREEN" localSheetId="0">FALSE</definedName>
    <definedName name="QBMETADATASIZE" localSheetId="0">5924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"dafb5cdda60346a59ff4c015b979397d"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0</definedName>
    <definedName name="QBREPORTTYPE" localSheetId="0">0</definedName>
    <definedName name="QBROWHEADERS" localSheetId="0">7</definedName>
    <definedName name="QBSTARTDATE" localSheetId="0">20210101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9" i="2" l="1"/>
  <c r="D39" i="2"/>
  <c r="J177" i="1"/>
  <c r="J176" i="1"/>
  <c r="J172" i="1"/>
  <c r="J171" i="1"/>
  <c r="G174" i="1"/>
  <c r="K177" i="1"/>
  <c r="K176" i="1"/>
  <c r="J175" i="1"/>
  <c r="K172" i="1"/>
  <c r="K171" i="1"/>
  <c r="G175" i="1"/>
  <c r="D36" i="2" l="1"/>
  <c r="D63" i="2"/>
  <c r="D54" i="2"/>
  <c r="D56" i="2"/>
  <c r="D53" i="2"/>
  <c r="D59" i="2"/>
  <c r="D27" i="2"/>
  <c r="D23" i="2"/>
  <c r="J222" i="1"/>
  <c r="J221" i="1"/>
  <c r="J220" i="1"/>
  <c r="J218" i="1"/>
  <c r="J217" i="1"/>
  <c r="J200" i="1"/>
  <c r="J191" i="1"/>
  <c r="J168" i="1"/>
  <c r="J151" i="1"/>
  <c r="J126" i="1"/>
  <c r="J124" i="1"/>
  <c r="J119" i="1"/>
  <c r="I119" i="1"/>
  <c r="J116" i="1"/>
  <c r="J98" i="1"/>
  <c r="J95" i="1"/>
  <c r="J67" i="1"/>
  <c r="J38" i="1"/>
  <c r="J31" i="1"/>
  <c r="J10" i="1"/>
  <c r="J208" i="1"/>
  <c r="J211" i="1" s="1"/>
  <c r="J196" i="1"/>
  <c r="J192" i="1"/>
  <c r="J169" i="1"/>
  <c r="J27" i="1"/>
  <c r="J24" i="1"/>
  <c r="I219" i="1"/>
  <c r="J219" i="1" s="1"/>
  <c r="I196" i="1"/>
  <c r="I192" i="1"/>
  <c r="G116" i="1"/>
  <c r="I208" i="1"/>
  <c r="I100" i="1"/>
  <c r="I27" i="1"/>
  <c r="D10" i="3"/>
  <c r="J174" i="1" l="1"/>
  <c r="J180" i="1" s="1"/>
  <c r="J195" i="1"/>
  <c r="J223" i="1"/>
  <c r="J96" i="1"/>
  <c r="J101" i="1" s="1"/>
  <c r="J102" i="1" s="1"/>
  <c r="C8" i="3" l="1"/>
  <c r="D18" i="3"/>
  <c r="D16" i="3"/>
  <c r="D19" i="3"/>
  <c r="D6" i="3"/>
  <c r="D4" i="3"/>
  <c r="D5" i="3"/>
  <c r="D38" i="2"/>
  <c r="D65" i="2" s="1"/>
  <c r="B38" i="2"/>
  <c r="B42" i="2"/>
  <c r="B56" i="2"/>
  <c r="B53" i="2"/>
  <c r="B59" i="2"/>
  <c r="B26" i="2"/>
  <c r="D25" i="2"/>
  <c r="D14" i="2"/>
  <c r="D9" i="2"/>
  <c r="G27" i="1"/>
  <c r="G120" i="1"/>
  <c r="G100" i="1"/>
  <c r="I223" i="1"/>
  <c r="I211" i="1"/>
  <c r="I195" i="1"/>
  <c r="I169" i="1"/>
  <c r="I174" i="1" s="1"/>
  <c r="I96" i="1"/>
  <c r="I24" i="1"/>
  <c r="G224" i="1"/>
  <c r="G216" i="1"/>
  <c r="G215" i="1"/>
  <c r="G212" i="1"/>
  <c r="G210" i="1"/>
  <c r="G208" i="1"/>
  <c r="G202" i="1"/>
  <c r="G198" i="1"/>
  <c r="G194" i="1"/>
  <c r="G193" i="1"/>
  <c r="G183" i="1"/>
  <c r="G181" i="1"/>
  <c r="G32" i="1"/>
  <c r="G28" i="1"/>
  <c r="G24" i="1"/>
  <c r="D17" i="3"/>
  <c r="D13" i="3"/>
  <c r="D12" i="3"/>
  <c r="D9" i="3"/>
  <c r="D7" i="3"/>
  <c r="C3" i="3" l="1"/>
  <c r="D2" i="3"/>
  <c r="D32" i="2"/>
  <c r="D67" i="2" s="1"/>
  <c r="G96" i="1"/>
  <c r="G101" i="1" s="1"/>
  <c r="G102" i="1" s="1"/>
  <c r="G211" i="1"/>
  <c r="I180" i="1"/>
  <c r="G195" i="1"/>
  <c r="G223" i="1"/>
  <c r="I101" i="1"/>
  <c r="I102" i="1" s="1"/>
  <c r="G180" i="1"/>
  <c r="G225" i="1" l="1"/>
  <c r="G226" i="1" s="1"/>
  <c r="G227" i="1" s="1"/>
  <c r="F65" i="2" l="1"/>
  <c r="F26" i="2"/>
  <c r="F25" i="2" s="1"/>
  <c r="B25" i="2"/>
  <c r="F19" i="2"/>
  <c r="F17" i="2"/>
  <c r="B14" i="2"/>
  <c r="F9" i="2"/>
  <c r="B9" i="2"/>
  <c r="K223" i="1"/>
  <c r="K211" i="1"/>
  <c r="K191" i="1"/>
  <c r="K195" i="1" s="1"/>
  <c r="K119" i="1"/>
  <c r="K169" i="1"/>
  <c r="K174" i="1" s="1"/>
  <c r="K24" i="1"/>
  <c r="K31" i="1"/>
  <c r="K96" i="1" s="1"/>
  <c r="K180" i="1" l="1"/>
  <c r="K101" i="1"/>
  <c r="K102" i="1" s="1"/>
  <c r="F14" i="2"/>
  <c r="F32" i="2" s="1"/>
  <c r="F67" i="2" s="1"/>
  <c r="B65" i="2"/>
  <c r="B32" i="2"/>
  <c r="B67" i="2" l="1"/>
  <c r="H192" i="1"/>
  <c r="H195" i="1" s="1"/>
  <c r="H196" i="1" l="1"/>
  <c r="H117" i="1"/>
  <c r="H11" i="1"/>
  <c r="H67" i="1"/>
  <c r="H24" i="1"/>
  <c r="H28" i="1"/>
  <c r="H96" i="1"/>
  <c r="H95" i="1"/>
  <c r="H151" i="1"/>
  <c r="H168" i="1"/>
  <c r="H211" i="1"/>
  <c r="H223" i="1"/>
  <c r="H174" i="1" l="1"/>
  <c r="H224" i="1"/>
  <c r="H180" i="1"/>
  <c r="H101" i="1"/>
  <c r="H102" i="1" s="1"/>
  <c r="I224" i="1" l="1"/>
  <c r="H225" i="1"/>
  <c r="H226" i="1" s="1"/>
  <c r="H227" i="1" s="1"/>
  <c r="I225" i="1" l="1"/>
  <c r="I226" i="1" s="1"/>
  <c r="I227" i="1" s="1"/>
  <c r="J224" i="1"/>
  <c r="J225" i="1" s="1"/>
  <c r="J226" i="1" s="1"/>
  <c r="J227" i="1" s="1"/>
  <c r="K224" i="1"/>
  <c r="K225" i="1" s="1"/>
  <c r="K226" i="1" s="1"/>
  <c r="K227" i="1" s="1"/>
</calcChain>
</file>

<file path=xl/sharedStrings.xml><?xml version="1.0" encoding="utf-8"?>
<sst xmlns="http://schemas.openxmlformats.org/spreadsheetml/2006/main" count="308" uniqueCount="272">
  <si>
    <t>Ordinary Income/Expense</t>
  </si>
  <si>
    <t>Income</t>
  </si>
  <si>
    <t>Angus - Fines and Fees</t>
  </si>
  <si>
    <t>A1-State CF - 20 62.00</t>
  </si>
  <si>
    <t>A1-State CF 40.00</t>
  </si>
  <si>
    <t>A10-2-Bldg Fund 4.90</t>
  </si>
  <si>
    <t>A10-Bldg Fund 3.00</t>
  </si>
  <si>
    <t>A11-Tech Fund 4.00</t>
  </si>
  <si>
    <t>A12-Municipal Court Fines</t>
  </si>
  <si>
    <t>A13-DSC 10.00</t>
  </si>
  <si>
    <t>A14-Dismissal 10.00</t>
  </si>
  <si>
    <t>A15-Payment Plan 25.00</t>
  </si>
  <si>
    <t>A15-Pmt Plan-20 15.00</t>
  </si>
  <si>
    <t>A16-Deferral 200.00</t>
  </si>
  <si>
    <t>A17-Collections 30%</t>
  </si>
  <si>
    <t>A18-OMNI-20 15.00</t>
  </si>
  <si>
    <t>A18-OMNI 30.00</t>
  </si>
  <si>
    <t>A2-JSF</t>
  </si>
  <si>
    <t>A20-Muni Jury Fee .10</t>
  </si>
  <si>
    <t>A21-Juv Case Mgr 5.00</t>
  </si>
  <si>
    <t>A3-IDRF</t>
  </si>
  <si>
    <t>A4-STATE JRF</t>
  </si>
  <si>
    <t>A5-TPDF</t>
  </si>
  <si>
    <t>A6-State STF Sept 50.00</t>
  </si>
  <si>
    <t>A7-Local TFC 3.00</t>
  </si>
  <si>
    <t>A8-MVF .10</t>
  </si>
  <si>
    <t>A9-LEA 5.00</t>
  </si>
  <si>
    <t>Angus - Fines and Fees - Other</t>
  </si>
  <si>
    <t>Total Angus - Fines and Fees</t>
  </si>
  <si>
    <t>Civic Center Rental</t>
  </si>
  <si>
    <t>Franchise Fee</t>
  </si>
  <si>
    <t>Atmos</t>
  </si>
  <si>
    <t>Electric</t>
  </si>
  <si>
    <t>Telephone</t>
  </si>
  <si>
    <t>Total Franchise Fee</t>
  </si>
  <si>
    <t>Miscellaneous Income</t>
  </si>
  <si>
    <t>Donations</t>
  </si>
  <si>
    <t>Miscellaneous Income - Other</t>
  </si>
  <si>
    <t>Total Miscellaneous Income</t>
  </si>
  <si>
    <t>Park</t>
  </si>
  <si>
    <t>Permit Fee</t>
  </si>
  <si>
    <t>Police Department Income</t>
  </si>
  <si>
    <t>City of Angus</t>
  </si>
  <si>
    <t>Insurance Payments</t>
  </si>
  <si>
    <t>Training</t>
  </si>
  <si>
    <t>Total Police Department Income</t>
  </si>
  <si>
    <t>Richland - Fines and Fees</t>
  </si>
  <si>
    <t>18 OMNI Fees 30</t>
  </si>
  <si>
    <t>2-State JSF 6.00</t>
  </si>
  <si>
    <t>3-State IDF 2.00</t>
  </si>
  <si>
    <t>4-State JRF 4.00</t>
  </si>
  <si>
    <t>5-State TPDF 2.00</t>
  </si>
  <si>
    <t>6-State STF-2019 30.00</t>
  </si>
  <si>
    <t>8-MVF .10</t>
  </si>
  <si>
    <t>R1-State CF Jan 20 62.00</t>
  </si>
  <si>
    <t>R10-2-Bldg Fund - 4.90</t>
  </si>
  <si>
    <t>R10B-Building Fund 3.00</t>
  </si>
  <si>
    <t>R11-Technology Fund 4.00</t>
  </si>
  <si>
    <t>R12-Municipal Court Fines</t>
  </si>
  <si>
    <t>R13-DSC 10.00</t>
  </si>
  <si>
    <t>R14-Dismissal 10.00</t>
  </si>
  <si>
    <t>R15-Payment Plan-20 15.00</t>
  </si>
  <si>
    <t>R15A-Payment Plan Fee 25.00</t>
  </si>
  <si>
    <t>R16-Deferral</t>
  </si>
  <si>
    <t>R17 Collections 30%</t>
  </si>
  <si>
    <t>R18-20 OMNI 15</t>
  </si>
  <si>
    <t>R1A-State CF 40.00</t>
  </si>
  <si>
    <t>R20 Muni JF .10</t>
  </si>
  <si>
    <t>R21 JCM 20 5.00</t>
  </si>
  <si>
    <t>R6-2-State STF2 50.00 Sept</t>
  </si>
  <si>
    <t>R7-Local TFC 3.00</t>
  </si>
  <si>
    <t>R9-LEA 5.00</t>
  </si>
  <si>
    <t>Richland - Fines and Fees - Other</t>
  </si>
  <si>
    <t>Total Richland - Fines and Fees</t>
  </si>
  <si>
    <t>Sales Tax</t>
  </si>
  <si>
    <t>TDEM - CRRF Grant</t>
  </si>
  <si>
    <t>7010 · Interest Income</t>
  </si>
  <si>
    <t>Total Income</t>
  </si>
  <si>
    <t>Gross Profit</t>
  </si>
  <si>
    <t>Expense</t>
  </si>
  <si>
    <t>Advertising</t>
  </si>
  <si>
    <t>Bank Fees</t>
  </si>
  <si>
    <t>Clean Up of Town</t>
  </si>
  <si>
    <t>Cleaning of Building</t>
  </si>
  <si>
    <t>Court</t>
  </si>
  <si>
    <t>12C-Municipal Court Fine Refund</t>
  </si>
  <si>
    <t>15C-State PP 7.50</t>
  </si>
  <si>
    <t>1C-State CF 36.00</t>
  </si>
  <si>
    <t>1C-State CF2 55.80</t>
  </si>
  <si>
    <t>2C-State JSF 5.40</t>
  </si>
  <si>
    <t>3C-State JRF 3.60</t>
  </si>
  <si>
    <t>4C-State IDF 1.80</t>
  </si>
  <si>
    <t>5C-State TPDF 2.00</t>
  </si>
  <si>
    <t>6C-State STF 28.50</t>
  </si>
  <si>
    <t>6C-State STF2 48.00</t>
  </si>
  <si>
    <t>6C-STF2 46.00</t>
  </si>
  <si>
    <t>7C-Time Payment Plan 12.50</t>
  </si>
  <si>
    <t>8C-MVF .09</t>
  </si>
  <si>
    <t>Appeal Bond Fees</t>
  </si>
  <si>
    <t>Citation Refund</t>
  </si>
  <si>
    <t>Graves, Humphries, Stahl, Limit</t>
  </si>
  <si>
    <t>Linebarger Goggan Blair &amp; Samps</t>
  </si>
  <si>
    <t>OMNIBASE SERVICES OF TEXAS, LP</t>
  </si>
  <si>
    <t>Court - Other</t>
  </si>
  <si>
    <t>Court - Angus</t>
  </si>
  <si>
    <t>A - Omni</t>
  </si>
  <si>
    <t>A12C-Muni Court Fine Refund</t>
  </si>
  <si>
    <t>A15C-Time Payment Plan 15.00</t>
  </si>
  <si>
    <t>A1C-State CF 36.00</t>
  </si>
  <si>
    <t>A1C-State CF2 55.80</t>
  </si>
  <si>
    <t>A2C-State JSF 5.40</t>
  </si>
  <si>
    <t>A3C-State JRF 3.60</t>
  </si>
  <si>
    <t>A4C-State IDF 1.80</t>
  </si>
  <si>
    <t>A5C-State TPDF 2.00</t>
  </si>
  <si>
    <t>A6C-State STF 28.50</t>
  </si>
  <si>
    <t>A6C-State STF2 48.00</t>
  </si>
  <si>
    <t>A7C- Time Payment Plan 12.50</t>
  </si>
  <si>
    <t>A8C-MVF .09</t>
  </si>
  <si>
    <t>Court - Angus - Other</t>
  </si>
  <si>
    <t>Total Court - Angus</t>
  </si>
  <si>
    <t>Exterminator</t>
  </si>
  <si>
    <t>Fuel</t>
  </si>
  <si>
    <t>Membership</t>
  </si>
  <si>
    <t>Municipal Court</t>
  </si>
  <si>
    <t>Judge fees</t>
  </si>
  <si>
    <t>Total Municipal Court</t>
  </si>
  <si>
    <t>Office Supplies</t>
  </si>
  <si>
    <t>Police Department</t>
  </si>
  <si>
    <t>AT&amp;T</t>
  </si>
  <si>
    <t>Equipment</t>
  </si>
  <si>
    <t>Police Department Fuel</t>
  </si>
  <si>
    <t>Uniforms</t>
  </si>
  <si>
    <t>Vehicle Repairs</t>
  </si>
  <si>
    <t>Police Department - Other</t>
  </si>
  <si>
    <t>Total Police Department</t>
  </si>
  <si>
    <t>TML</t>
  </si>
  <si>
    <t>Trash</t>
  </si>
  <si>
    <t>Water Department</t>
  </si>
  <si>
    <t>6160 · Dues and Subscriptions</t>
  </si>
  <si>
    <t>6180 · Insurance</t>
  </si>
  <si>
    <t>Insurance on Fire Trucks</t>
  </si>
  <si>
    <t>Total 6180 · Insurance</t>
  </si>
  <si>
    <t>6240 · Miscellaneous</t>
  </si>
  <si>
    <t>6250 · Postage and Delivery</t>
  </si>
  <si>
    <t>6270 · Professional Fees</t>
  </si>
  <si>
    <t>6300 · Repairs</t>
  </si>
  <si>
    <t>Air Conditioner Repair</t>
  </si>
  <si>
    <t>Mower</t>
  </si>
  <si>
    <t>Street Repair</t>
  </si>
  <si>
    <t>6310 · Building Repairs</t>
  </si>
  <si>
    <t>6320 · Computer Repairs</t>
  </si>
  <si>
    <t>Total 6300 · Repairs</t>
  </si>
  <si>
    <t>6350 · Travel &amp; Ent</t>
  </si>
  <si>
    <t>6380 · Travel</t>
  </si>
  <si>
    <t>Total 6350 · Travel &amp; Ent</t>
  </si>
  <si>
    <t>6390 · Utilities</t>
  </si>
  <si>
    <t>6400 · Gas and Electric</t>
  </si>
  <si>
    <t>Atmos Gas</t>
  </si>
  <si>
    <t>Electric  Park</t>
  </si>
  <si>
    <t>Electric Building</t>
  </si>
  <si>
    <t>Police Garage</t>
  </si>
  <si>
    <t>Street Lights</t>
  </si>
  <si>
    <t>Total 6400 · Gas and Electric</t>
  </si>
  <si>
    <t>Total 6390 · Utilities</t>
  </si>
  <si>
    <t>6560 · Payroll Expenses</t>
  </si>
  <si>
    <t>Total Expense</t>
  </si>
  <si>
    <t>Net Ordinary Income</t>
  </si>
  <si>
    <t>City of Richland</t>
  </si>
  <si>
    <t xml:space="preserve"> </t>
  </si>
  <si>
    <t>PO Box 179</t>
  </si>
  <si>
    <t>Richland, TX  76681</t>
  </si>
  <si>
    <t>Actual</t>
  </si>
  <si>
    <t>Estimated</t>
  </si>
  <si>
    <t>Proposed</t>
  </si>
  <si>
    <t>Balance Forward</t>
  </si>
  <si>
    <t xml:space="preserve">            General Fund</t>
  </si>
  <si>
    <t xml:space="preserve">            Tax Fund</t>
  </si>
  <si>
    <t>Certificates of Deposit</t>
  </si>
  <si>
    <t>Real Estate Tax</t>
  </si>
  <si>
    <t>Navarro County Appraisal District</t>
  </si>
  <si>
    <t>Auditor</t>
  </si>
  <si>
    <t>Attorney</t>
  </si>
  <si>
    <t>Net Income</t>
  </si>
  <si>
    <t>Health Insurance</t>
  </si>
  <si>
    <t>Insurance - TMLIRP</t>
  </si>
  <si>
    <t>TMCEC Training</t>
  </si>
  <si>
    <t>Dues and Subscriptions</t>
  </si>
  <si>
    <t>Hiring Expenses</t>
  </si>
  <si>
    <t>Vehicle</t>
  </si>
  <si>
    <t>Towing</t>
  </si>
  <si>
    <t>Election</t>
  </si>
  <si>
    <t>TML - Workers Comp</t>
  </si>
  <si>
    <t>Siren</t>
  </si>
  <si>
    <t>CITY OF RICHLAND</t>
  </si>
  <si>
    <t>PO BOX 179</t>
  </si>
  <si>
    <t>RICHLAND, TEXAS 76681</t>
  </si>
  <si>
    <t>Estimate</t>
  </si>
  <si>
    <t>Balance Forward - Total</t>
  </si>
  <si>
    <t xml:space="preserve">          Debt Service Fund</t>
  </si>
  <si>
    <t xml:space="preserve">          Reserve Fund</t>
  </si>
  <si>
    <t xml:space="preserve">          Water</t>
  </si>
  <si>
    <t xml:space="preserve">          Water Deposits</t>
  </si>
  <si>
    <t>Income - Water</t>
  </si>
  <si>
    <t xml:space="preserve">              New Accounts</t>
  </si>
  <si>
    <t xml:space="preserve">              Tap Fees</t>
  </si>
  <si>
    <t xml:space="preserve">              Name Change</t>
  </si>
  <si>
    <t xml:space="preserve">              Impact Fee</t>
  </si>
  <si>
    <t xml:space="preserve">              Road Bore</t>
  </si>
  <si>
    <t xml:space="preserve">              Damage to Lid/Box</t>
  </si>
  <si>
    <t xml:space="preserve">              Engineer</t>
  </si>
  <si>
    <t>Interest</t>
  </si>
  <si>
    <t>Certificates of Deposit - Total</t>
  </si>
  <si>
    <t xml:space="preserve">          Debt Service Fund ****768</t>
  </si>
  <si>
    <t>Grant - TCDBG</t>
  </si>
  <si>
    <t>Expenses</t>
  </si>
  <si>
    <t xml:space="preserve">          Attorney &amp; Misc.</t>
  </si>
  <si>
    <t xml:space="preserve">          Dues</t>
  </si>
  <si>
    <t xml:space="preserve">          Electricity</t>
  </si>
  <si>
    <t xml:space="preserve">          Engineer</t>
  </si>
  <si>
    <t xml:space="preserve">          Grant</t>
  </si>
  <si>
    <t xml:space="preserve">          Mowing</t>
  </si>
  <si>
    <t xml:space="preserve">          Payroll</t>
  </si>
  <si>
    <t xml:space="preserve">          Postage &amp; printing</t>
  </si>
  <si>
    <t xml:space="preserve">          Repairs</t>
  </si>
  <si>
    <t xml:space="preserve">          TNRCC Permits</t>
  </si>
  <si>
    <t xml:space="preserve">          Water Purchase</t>
  </si>
  <si>
    <t>Total Expenses</t>
  </si>
  <si>
    <t xml:space="preserve">          Deposit Refunds</t>
  </si>
  <si>
    <t xml:space="preserve">          Parts</t>
  </si>
  <si>
    <t xml:space="preserve">          Nap Testing</t>
  </si>
  <si>
    <t xml:space="preserve">          Testing</t>
  </si>
  <si>
    <t xml:space="preserve">          Bank Service Charges</t>
  </si>
  <si>
    <t xml:space="preserve">          Advertising</t>
  </si>
  <si>
    <t xml:space="preserve">          Vehicle</t>
  </si>
  <si>
    <t xml:space="preserve">          Vehicle Repairs</t>
  </si>
  <si>
    <t xml:space="preserve">          Road Bore</t>
  </si>
  <si>
    <t xml:space="preserve">          Tap fees</t>
  </si>
  <si>
    <t>Court - Richland</t>
  </si>
  <si>
    <t>Total Court - Richland</t>
  </si>
  <si>
    <t>Chief</t>
  </si>
  <si>
    <t>Sgt</t>
  </si>
  <si>
    <t>Officer</t>
  </si>
  <si>
    <t>Deputy Clerk</t>
  </si>
  <si>
    <t>Clerk</t>
  </si>
  <si>
    <t>Judge</t>
  </si>
  <si>
    <t>Annual</t>
  </si>
  <si>
    <t>Police</t>
  </si>
  <si>
    <t>Water</t>
  </si>
  <si>
    <t>Operations Director</t>
  </si>
  <si>
    <t>Operator</t>
  </si>
  <si>
    <t>Discovery and USB</t>
  </si>
  <si>
    <t>National Night Out</t>
  </si>
  <si>
    <t>STEP Program</t>
  </si>
  <si>
    <t>CRRF Grant</t>
  </si>
  <si>
    <t>Office &amp; Vehicle Supplies</t>
  </si>
  <si>
    <t>Filing Fees</t>
  </si>
  <si>
    <t>Computer Software</t>
  </si>
  <si>
    <t>2024 Water Budget</t>
  </si>
  <si>
    <t>2024 Budget</t>
  </si>
  <si>
    <t xml:space="preserve">          Water Fund  ****7855</t>
  </si>
  <si>
    <t xml:space="preserve">          Meters</t>
  </si>
  <si>
    <t xml:space="preserve">          AT&amp;T</t>
  </si>
  <si>
    <t>Operator License</t>
  </si>
  <si>
    <t>Seized Property</t>
  </si>
  <si>
    <t>Mowing Vacant Lots and Park</t>
  </si>
  <si>
    <t xml:space="preserve">          Water Fund **** Verabank</t>
  </si>
  <si>
    <t>Deputy Court Clerk</t>
  </si>
  <si>
    <t>Court Clerk</t>
  </si>
  <si>
    <t>Police Chief</t>
  </si>
  <si>
    <t>Police Officer</t>
  </si>
  <si>
    <t xml:space="preserve">         Atmos Gas</t>
  </si>
  <si>
    <t>250 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</si>
</sst>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#,##0.00;\-#,##0.00"/>
    <numFmt numFmtId="165" formatCode="&quot;$&quot;#,##0.00"/>
    <numFmt numFmtId="166" formatCode="_(&quot;$&quot;* #,##0_);_(&quot;$&quot;* \(#,##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/>
    <xf numFmtId="164" fontId="6" fillId="0" borderId="0" xfId="0" applyNumberFormat="1" applyFont="1"/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165" fontId="7" fillId="0" borderId="0" xfId="0" applyNumberFormat="1" applyFont="1"/>
    <xf numFmtId="0" fontId="8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2" fillId="0" borderId="0" xfId="0" applyFont="1"/>
    <xf numFmtId="0" fontId="3" fillId="0" borderId="0" xfId="0" applyFont="1" applyAlignment="1">
      <alignment horizontal="center"/>
    </xf>
    <xf numFmtId="0" fontId="10" fillId="0" borderId="0" xfId="0" applyFont="1" applyProtection="1">
      <protection locked="0"/>
    </xf>
    <xf numFmtId="44" fontId="3" fillId="0" borderId="0" xfId="1" applyFont="1"/>
    <xf numFmtId="44" fontId="7" fillId="0" borderId="0" xfId="1" applyFont="1"/>
    <xf numFmtId="44" fontId="6" fillId="0" borderId="0" xfId="1" applyFont="1"/>
    <xf numFmtId="44" fontId="0" fillId="0" borderId="0" xfId="1" applyFont="1"/>
    <xf numFmtId="44" fontId="6" fillId="0" borderId="0" xfId="1" applyFont="1" applyBorder="1"/>
    <xf numFmtId="44" fontId="6" fillId="0" borderId="1" xfId="1" applyFont="1" applyBorder="1"/>
    <xf numFmtId="44" fontId="0" fillId="0" borderId="1" xfId="1" applyFont="1" applyBorder="1"/>
    <xf numFmtId="44" fontId="6" fillId="0" borderId="2" xfId="1" applyFont="1" applyBorder="1"/>
    <xf numFmtId="44" fontId="6" fillId="0" borderId="3" xfId="1" applyFont="1" applyBorder="1"/>
    <xf numFmtId="44" fontId="5" fillId="0" borderId="4" xfId="1" applyFont="1" applyBorder="1"/>
    <xf numFmtId="0" fontId="5" fillId="0" borderId="0" xfId="0" applyFont="1"/>
    <xf numFmtId="164" fontId="11" fillId="0" borderId="0" xfId="0" applyNumberFormat="1" applyFont="1"/>
    <xf numFmtId="44" fontId="0" fillId="0" borderId="0" xfId="1" applyFont="1" applyBorder="1"/>
    <xf numFmtId="0" fontId="0" fillId="0" borderId="1" xfId="0" applyBorder="1"/>
    <xf numFmtId="49" fontId="12" fillId="0" borderId="0" xfId="0" applyNumberFormat="1" applyFont="1" applyAlignment="1">
      <alignment horizontal="center"/>
    </xf>
    <xf numFmtId="49" fontId="12" fillId="0" borderId="0" xfId="0" applyNumberFormat="1" applyFont="1"/>
    <xf numFmtId="164" fontId="11" fillId="0" borderId="1" xfId="0" applyNumberFormat="1" applyFont="1" applyBorder="1"/>
    <xf numFmtId="164" fontId="12" fillId="0" borderId="0" xfId="0" applyNumberFormat="1" applyFont="1"/>
    <xf numFmtId="44" fontId="13" fillId="0" borderId="0" xfId="1" applyFont="1"/>
    <xf numFmtId="44" fontId="13" fillId="0" borderId="0" xfId="1" applyFont="1" applyAlignment="1" applyProtection="1">
      <alignment horizontal="center"/>
      <protection locked="0"/>
    </xf>
    <xf numFmtId="44" fontId="6" fillId="0" borderId="0" xfId="1" applyFont="1" applyAlignment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  <xf numFmtId="44" fontId="8" fillId="0" borderId="0" xfId="0" applyNumberFormat="1" applyFont="1" applyProtection="1">
      <protection locked="0"/>
    </xf>
    <xf numFmtId="0" fontId="8" fillId="0" borderId="0" xfId="0" applyFont="1"/>
    <xf numFmtId="44" fontId="7" fillId="0" borderId="0" xfId="1" applyFont="1" applyFill="1" applyBorder="1" applyAlignment="1" applyProtection="1">
      <protection locked="0"/>
    </xf>
    <xf numFmtId="7" fontId="7" fillId="0" borderId="0" xfId="0" applyNumberFormat="1" applyFont="1" applyProtection="1">
      <protection locked="0"/>
    </xf>
    <xf numFmtId="7" fontId="8" fillId="0" borderId="0" xfId="0" applyNumberFormat="1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44" fontId="3" fillId="0" borderId="1" xfId="1" applyFont="1" applyBorder="1"/>
    <xf numFmtId="166" fontId="1" fillId="0" borderId="0" xfId="1" applyNumberFormat="1" applyFont="1"/>
    <xf numFmtId="166" fontId="0" fillId="0" borderId="0" xfId="1" applyNumberFormat="1" applyFont="1"/>
    <xf numFmtId="166" fontId="0" fillId="0" borderId="0" xfId="0" applyNumberFormat="1"/>
    <xf numFmtId="44" fontId="0" fillId="0" borderId="0" xfId="0" applyNumberFormat="1"/>
    <xf numFmtId="0" fontId="3" fillId="0" borderId="0" xfId="1" applyNumberFormat="1" applyFont="1" applyAlignment="1">
      <alignment horizontal="center"/>
    </xf>
    <xf numFmtId="44" fontId="15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4</xdr:col>
          <xdr:colOff>114300</xdr:colOff>
          <xdr:row>16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4</xdr:col>
          <xdr:colOff>114300</xdr:colOff>
          <xdr:row>16</xdr:row>
          <xdr:rowOff>38100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C3975-97FE-476A-A00A-86C8FFAF1C16}">
  <sheetPr codeName="Sheet1"/>
  <dimension ref="A1:R232"/>
  <sheetViews>
    <sheetView topLeftCell="A198" zoomScaleNormal="100" workbookViewId="0">
      <selection activeCell="K217" sqref="K217"/>
    </sheetView>
  </sheetViews>
  <sheetFormatPr defaultRowHeight="15" x14ac:dyDescent="0.25"/>
  <cols>
    <col min="1" max="5" width="3" style="1" customWidth="1"/>
    <col min="6" max="6" width="25.85546875" style="1" customWidth="1"/>
    <col min="7" max="7" width="19" customWidth="1"/>
    <col min="8" max="8" width="14" hidden="1" customWidth="1"/>
    <col min="9" max="9" width="19.28515625" hidden="1" customWidth="1"/>
    <col min="10" max="10" width="19.28515625" customWidth="1"/>
    <col min="11" max="11" width="15.5703125" style="14" customWidth="1"/>
    <col min="17" max="17" width="14.140625" customWidth="1"/>
    <col min="18" max="18" width="10.7109375" customWidth="1"/>
    <col min="20" max="20" width="9.140625" customWidth="1"/>
  </cols>
  <sheetData>
    <row r="1" spans="1:18" x14ac:dyDescent="0.25">
      <c r="A1"/>
      <c r="B1"/>
      <c r="C1"/>
      <c r="D1"/>
      <c r="E1"/>
      <c r="F1" s="6"/>
      <c r="G1" s="9" t="s">
        <v>167</v>
      </c>
    </row>
    <row r="2" spans="1:18" x14ac:dyDescent="0.25">
      <c r="A2"/>
      <c r="B2"/>
      <c r="C2"/>
      <c r="D2"/>
      <c r="E2"/>
      <c r="F2" s="6" t="s">
        <v>168</v>
      </c>
      <c r="G2" s="9" t="s">
        <v>169</v>
      </c>
    </row>
    <row r="3" spans="1:18" x14ac:dyDescent="0.25">
      <c r="A3"/>
      <c r="B3"/>
      <c r="C3"/>
      <c r="D3"/>
      <c r="E3"/>
      <c r="F3" s="6" t="s">
        <v>168</v>
      </c>
      <c r="G3" s="9" t="s">
        <v>170</v>
      </c>
    </row>
    <row r="4" spans="1:18" x14ac:dyDescent="0.25">
      <c r="A4"/>
      <c r="B4"/>
      <c r="C4"/>
      <c r="D4"/>
      <c r="E4"/>
      <c r="F4" s="6"/>
      <c r="G4" s="9"/>
    </row>
    <row r="5" spans="1:18" ht="26.25" x14ac:dyDescent="0.4">
      <c r="A5"/>
      <c r="B5"/>
      <c r="C5"/>
      <c r="D5"/>
      <c r="E5"/>
      <c r="F5" s="6"/>
      <c r="G5" s="10" t="s">
        <v>258</v>
      </c>
    </row>
    <row r="6" spans="1:18" x14ac:dyDescent="0.25">
      <c r="A6"/>
      <c r="B6"/>
      <c r="C6"/>
      <c r="D6"/>
      <c r="E6"/>
      <c r="F6" s="6"/>
      <c r="G6" s="6"/>
      <c r="H6" s="6"/>
      <c r="I6" s="6"/>
      <c r="J6" s="6"/>
    </row>
    <row r="7" spans="1:18" x14ac:dyDescent="0.25">
      <c r="A7"/>
      <c r="B7"/>
      <c r="C7"/>
      <c r="D7"/>
      <c r="E7"/>
      <c r="F7" s="6"/>
      <c r="G7" s="12">
        <v>2022</v>
      </c>
      <c r="I7" s="12">
        <v>2023</v>
      </c>
      <c r="J7" s="12">
        <v>2023</v>
      </c>
      <c r="K7" s="50">
        <v>2024</v>
      </c>
    </row>
    <row r="8" spans="1:18" x14ac:dyDescent="0.25">
      <c r="A8"/>
      <c r="B8"/>
      <c r="C8"/>
      <c r="D8"/>
      <c r="E8"/>
      <c r="F8" s="6"/>
      <c r="G8" s="7" t="s">
        <v>171</v>
      </c>
      <c r="I8" s="7" t="s">
        <v>172</v>
      </c>
      <c r="J8" s="7" t="s">
        <v>172</v>
      </c>
      <c r="K8" s="33" t="s">
        <v>173</v>
      </c>
    </row>
    <row r="9" spans="1:18" x14ac:dyDescent="0.25">
      <c r="A9" s="13" t="s">
        <v>174</v>
      </c>
      <c r="B9" s="11"/>
      <c r="C9" s="11"/>
      <c r="D9" s="11"/>
      <c r="E9" s="11"/>
      <c r="F9" s="11"/>
      <c r="G9" s="8" t="s">
        <v>168</v>
      </c>
      <c r="H9" s="8" t="s">
        <v>168</v>
      </c>
      <c r="I9" s="8"/>
      <c r="J9" s="8"/>
      <c r="K9" s="32" t="s">
        <v>168</v>
      </c>
    </row>
    <row r="10" spans="1:18" x14ac:dyDescent="0.25">
      <c r="A10" s="13" t="s">
        <v>175</v>
      </c>
      <c r="B10" s="11"/>
      <c r="C10" s="11"/>
      <c r="D10" s="11"/>
      <c r="E10" s="11"/>
      <c r="F10" s="11"/>
      <c r="G10" s="14">
        <v>203182.87</v>
      </c>
      <c r="H10" s="14">
        <v>223500</v>
      </c>
      <c r="I10" s="14">
        <v>103401.86</v>
      </c>
      <c r="J10" s="14">
        <f>+I10/7*12</f>
        <v>177260.33142857143</v>
      </c>
      <c r="K10" s="14">
        <v>275000</v>
      </c>
    </row>
    <row r="11" spans="1:18" x14ac:dyDescent="0.25">
      <c r="A11" s="13" t="s">
        <v>176</v>
      </c>
      <c r="B11" s="11"/>
      <c r="C11" s="11"/>
      <c r="D11" s="11"/>
      <c r="E11" s="11"/>
      <c r="F11" s="11"/>
      <c r="G11" s="14">
        <v>42529.22</v>
      </c>
      <c r="H11" s="14">
        <f>47618.05+4700</f>
        <v>52318.05</v>
      </c>
      <c r="I11" s="14">
        <v>40000</v>
      </c>
      <c r="J11" s="14">
        <v>40000</v>
      </c>
      <c r="K11" s="14">
        <v>60000</v>
      </c>
    </row>
    <row r="12" spans="1:18" x14ac:dyDescent="0.25">
      <c r="A12" s="13"/>
      <c r="B12" s="11"/>
      <c r="C12" s="11"/>
      <c r="D12" s="11"/>
      <c r="E12" s="11"/>
      <c r="F12" s="11"/>
      <c r="G12" s="14"/>
      <c r="H12" s="14"/>
      <c r="I12" s="14"/>
      <c r="J12" s="14"/>
    </row>
    <row r="13" spans="1:18" x14ac:dyDescent="0.25">
      <c r="A13" s="13" t="s">
        <v>177</v>
      </c>
      <c r="B13" s="11"/>
      <c r="C13" s="11"/>
      <c r="D13" s="11"/>
      <c r="E13" s="11"/>
      <c r="F13" s="11"/>
      <c r="G13" s="15"/>
      <c r="H13" s="15" t="s">
        <v>168</v>
      </c>
      <c r="I13" s="32" t="s">
        <v>168</v>
      </c>
      <c r="J13" s="32" t="s">
        <v>168</v>
      </c>
      <c r="K13" s="32" t="s">
        <v>168</v>
      </c>
    </row>
    <row r="14" spans="1:18" x14ac:dyDescent="0.25">
      <c r="A14" s="13" t="s">
        <v>175</v>
      </c>
      <c r="B14" s="11"/>
      <c r="C14" s="11"/>
      <c r="D14" s="11"/>
      <c r="E14" s="11"/>
      <c r="F14" s="11"/>
      <c r="G14" s="14">
        <v>20935.46</v>
      </c>
      <c r="H14" s="14">
        <v>21000</v>
      </c>
      <c r="I14" s="14">
        <v>81613.72</v>
      </c>
      <c r="J14" s="14">
        <v>81613.72</v>
      </c>
      <c r="K14" s="14">
        <v>22000</v>
      </c>
    </row>
    <row r="15" spans="1:18" x14ac:dyDescent="0.25">
      <c r="A15" s="13" t="s">
        <v>176</v>
      </c>
      <c r="B15" s="11"/>
      <c r="C15" s="11"/>
      <c r="D15" s="11"/>
      <c r="E15" s="11"/>
      <c r="F15" s="11"/>
      <c r="G15" s="14">
        <v>11250</v>
      </c>
      <c r="H15" s="14">
        <v>11250</v>
      </c>
      <c r="I15" s="14">
        <v>39610.76</v>
      </c>
      <c r="J15" s="14">
        <v>39610.76</v>
      </c>
      <c r="K15" s="14">
        <v>41000</v>
      </c>
    </row>
    <row r="16" spans="1:18" s="2" customFormat="1" x14ac:dyDescent="0.25">
      <c r="A16" s="3"/>
      <c r="B16" s="3"/>
      <c r="C16" s="3"/>
      <c r="D16" s="3"/>
      <c r="E16" s="3"/>
      <c r="F16" s="3"/>
      <c r="G16" s="3"/>
      <c r="H16" s="3"/>
      <c r="I16" s="34"/>
      <c r="J16" s="34"/>
      <c r="K16" s="34"/>
      <c r="L16" s="28"/>
      <c r="M16" s="28"/>
      <c r="N16" s="28"/>
      <c r="O16" s="28"/>
      <c r="P16" s="28"/>
      <c r="Q16" s="28"/>
      <c r="R16" s="28"/>
    </row>
    <row r="17" spans="1:18" x14ac:dyDescent="0.25">
      <c r="A17" s="4" t="s">
        <v>0</v>
      </c>
      <c r="B17" s="4"/>
      <c r="C17" s="4"/>
      <c r="D17" s="4"/>
      <c r="E17" s="4"/>
      <c r="F17" s="4"/>
      <c r="G17" s="5"/>
      <c r="H17" s="5"/>
      <c r="I17" s="16"/>
      <c r="J17" s="16"/>
      <c r="K17" s="16"/>
      <c r="L17" s="29"/>
      <c r="M17" s="29"/>
      <c r="N17" s="29"/>
      <c r="O17" s="29"/>
      <c r="P17" s="29"/>
      <c r="Q17" s="29"/>
      <c r="R17" s="25"/>
    </row>
    <row r="18" spans="1:18" x14ac:dyDescent="0.25">
      <c r="A18" s="4"/>
      <c r="B18" s="4"/>
      <c r="C18" s="4" t="s">
        <v>1</v>
      </c>
      <c r="D18" s="4"/>
      <c r="E18" s="4"/>
      <c r="F18" s="4"/>
      <c r="G18" s="5"/>
      <c r="H18" s="5"/>
      <c r="I18" s="16"/>
      <c r="J18" s="16"/>
      <c r="K18" s="16"/>
      <c r="L18" s="29"/>
      <c r="M18" s="29"/>
      <c r="N18" s="29"/>
      <c r="O18" s="29"/>
      <c r="P18" s="29"/>
      <c r="Q18" s="29"/>
      <c r="R18" s="25"/>
    </row>
    <row r="19" spans="1:18" x14ac:dyDescent="0.25">
      <c r="A19" s="4"/>
      <c r="B19" s="4"/>
      <c r="C19" s="4"/>
      <c r="D19" s="4" t="s">
        <v>29</v>
      </c>
      <c r="E19" s="4"/>
      <c r="F19" s="4"/>
      <c r="G19" s="16">
        <v>235</v>
      </c>
      <c r="H19" s="16">
        <v>185</v>
      </c>
      <c r="I19" s="16">
        <v>210</v>
      </c>
      <c r="J19" s="16">
        <v>210</v>
      </c>
      <c r="K19" s="16">
        <v>400</v>
      </c>
      <c r="L19" s="29"/>
      <c r="M19" s="29"/>
      <c r="N19" s="29"/>
      <c r="O19" s="29"/>
      <c r="P19" s="29"/>
      <c r="Q19" s="29"/>
      <c r="R19" s="25"/>
    </row>
    <row r="20" spans="1:18" x14ac:dyDescent="0.25">
      <c r="A20" s="4"/>
      <c r="B20" s="4"/>
      <c r="C20" s="4"/>
      <c r="D20" s="4" t="s">
        <v>30</v>
      </c>
      <c r="E20" s="4"/>
      <c r="F20" s="4"/>
      <c r="G20" s="17"/>
      <c r="H20" s="17"/>
      <c r="I20" s="16"/>
      <c r="J20" s="16"/>
      <c r="K20" s="16"/>
      <c r="L20" s="29"/>
      <c r="M20" s="29"/>
      <c r="N20" s="29"/>
      <c r="O20" s="29"/>
      <c r="P20" s="29"/>
      <c r="Q20" s="29"/>
      <c r="R20" s="25"/>
    </row>
    <row r="21" spans="1:18" x14ac:dyDescent="0.25">
      <c r="A21" s="4"/>
      <c r="B21" s="4"/>
      <c r="C21" s="4"/>
      <c r="D21" s="4"/>
      <c r="E21" s="4" t="s">
        <v>31</v>
      </c>
      <c r="F21" s="4"/>
      <c r="G21" s="16">
        <v>1398.32</v>
      </c>
      <c r="H21" s="16">
        <v>1398.32</v>
      </c>
      <c r="I21" s="14">
        <v>1495.16</v>
      </c>
      <c r="J21" s="14">
        <v>1495.16</v>
      </c>
      <c r="K21" s="14">
        <v>1400</v>
      </c>
      <c r="L21" s="29"/>
      <c r="M21" s="29"/>
      <c r="N21" s="29"/>
      <c r="O21" s="29"/>
      <c r="P21" s="29"/>
      <c r="Q21" s="29"/>
      <c r="R21" s="25"/>
    </row>
    <row r="22" spans="1:18" x14ac:dyDescent="0.25">
      <c r="A22" s="4"/>
      <c r="B22" s="4"/>
      <c r="C22" s="4"/>
      <c r="D22" s="4"/>
      <c r="E22" s="4" t="s">
        <v>32</v>
      </c>
      <c r="F22" s="4"/>
      <c r="G22" s="16">
        <v>9105.84</v>
      </c>
      <c r="H22" s="16">
        <v>9105.84</v>
      </c>
      <c r="I22" s="14">
        <v>10110.51</v>
      </c>
      <c r="J22" s="14">
        <v>10110.51</v>
      </c>
      <c r="K22" s="14">
        <v>9400</v>
      </c>
      <c r="L22" s="29"/>
      <c r="M22" s="29"/>
      <c r="N22" s="29"/>
      <c r="O22" s="29"/>
      <c r="P22" s="29"/>
      <c r="Q22" s="29"/>
      <c r="R22" s="25"/>
    </row>
    <row r="23" spans="1:18" ht="15.75" thickBot="1" x14ac:dyDescent="0.3">
      <c r="A23" s="4"/>
      <c r="B23" s="4"/>
      <c r="C23" s="4"/>
      <c r="D23" s="4"/>
      <c r="E23" s="4" t="s">
        <v>33</v>
      </c>
      <c r="F23" s="4"/>
      <c r="G23" s="19">
        <v>655.15</v>
      </c>
      <c r="H23" s="30">
        <v>385.65</v>
      </c>
      <c r="I23" s="45">
        <v>720</v>
      </c>
      <c r="J23" s="45">
        <v>720</v>
      </c>
      <c r="K23" s="45">
        <v>400</v>
      </c>
      <c r="L23" s="29"/>
      <c r="M23" s="29"/>
      <c r="N23" s="29"/>
      <c r="O23" s="29"/>
      <c r="P23" s="29"/>
      <c r="Q23" s="29"/>
      <c r="R23" s="25"/>
    </row>
    <row r="24" spans="1:18" x14ac:dyDescent="0.25">
      <c r="A24" s="4"/>
      <c r="B24" s="4"/>
      <c r="C24" s="4"/>
      <c r="D24" s="4" t="s">
        <v>34</v>
      </c>
      <c r="E24" s="4"/>
      <c r="F24" s="4"/>
      <c r="G24" s="16">
        <f>ROUND(SUM(G21:G23),5)</f>
        <v>11159.31</v>
      </c>
      <c r="H24" s="16">
        <f>ROUND(SUM(H21:H23),5)</f>
        <v>10889.81</v>
      </c>
      <c r="I24" s="16">
        <f>ROUND(SUM(I21:I23),5)</f>
        <v>12325.67</v>
      </c>
      <c r="J24" s="16">
        <f>ROUND(SUM(J21:J23),5)</f>
        <v>12325.67</v>
      </c>
      <c r="K24" s="16">
        <f>ROUND(SUM(K21:K23),5)</f>
        <v>11200</v>
      </c>
      <c r="L24" s="29"/>
      <c r="M24" s="29"/>
      <c r="N24" s="29"/>
      <c r="O24" s="29"/>
      <c r="P24" s="29"/>
      <c r="Q24" s="29"/>
      <c r="R24" s="25"/>
    </row>
    <row r="25" spans="1:18" x14ac:dyDescent="0.25">
      <c r="A25" s="4"/>
      <c r="B25" s="4"/>
      <c r="C25" s="4"/>
      <c r="D25" s="4" t="s">
        <v>35</v>
      </c>
      <c r="E25" s="4"/>
      <c r="F25" s="4"/>
      <c r="G25" s="16"/>
      <c r="H25" s="16"/>
      <c r="I25" s="16"/>
      <c r="J25" s="16"/>
      <c r="K25" s="16"/>
      <c r="L25" s="29"/>
      <c r="M25" s="29"/>
      <c r="N25" s="29"/>
      <c r="O25" s="29"/>
      <c r="P25" s="29"/>
      <c r="Q25" s="29"/>
      <c r="R25" s="25"/>
    </row>
    <row r="26" spans="1:18" x14ac:dyDescent="0.25">
      <c r="A26" s="4"/>
      <c r="B26" s="4"/>
      <c r="C26" s="4"/>
      <c r="D26" s="4"/>
      <c r="E26" s="4" t="s">
        <v>36</v>
      </c>
      <c r="F26" s="4"/>
      <c r="G26" s="16">
        <v>37.79</v>
      </c>
      <c r="H26" s="18">
        <v>37.79</v>
      </c>
      <c r="I26" s="16">
        <v>500</v>
      </c>
      <c r="J26" s="16">
        <v>500</v>
      </c>
      <c r="K26" s="16">
        <v>500</v>
      </c>
      <c r="L26" s="29"/>
      <c r="M26" s="29"/>
      <c r="N26" s="29"/>
      <c r="O26" s="29"/>
      <c r="P26" s="29"/>
      <c r="Q26" s="29"/>
      <c r="R26" s="25"/>
    </row>
    <row r="27" spans="1:18" ht="15.75" thickBot="1" x14ac:dyDescent="0.3">
      <c r="A27" s="4"/>
      <c r="B27" s="4"/>
      <c r="C27" s="4"/>
      <c r="D27" s="4"/>
      <c r="E27" s="4" t="s">
        <v>37</v>
      </c>
      <c r="F27" s="4"/>
      <c r="G27" s="19">
        <f>31.19+10000+759.32+5509.33</f>
        <v>16299.84</v>
      </c>
      <c r="H27" s="27"/>
      <c r="I27" s="19">
        <f>964.42+65.92</f>
        <v>1030.3399999999999</v>
      </c>
      <c r="J27" s="19">
        <f>964.42+65.92</f>
        <v>1030.3399999999999</v>
      </c>
      <c r="K27" s="19"/>
      <c r="L27" s="29"/>
      <c r="M27" s="29"/>
      <c r="N27" s="29"/>
      <c r="O27" s="29"/>
      <c r="P27" s="29"/>
      <c r="Q27" s="29"/>
      <c r="R27" s="25"/>
    </row>
    <row r="28" spans="1:18" x14ac:dyDescent="0.25">
      <c r="A28" s="4"/>
      <c r="B28" s="4"/>
      <c r="C28" s="4"/>
      <c r="D28" s="4" t="s">
        <v>38</v>
      </c>
      <c r="E28" s="4"/>
      <c r="F28" s="4"/>
      <c r="G28" s="16">
        <f>ROUND(SUM(G25:G26),5)</f>
        <v>37.79</v>
      </c>
      <c r="H28" s="16">
        <f>ROUND(SUM(H25:H26),5)</f>
        <v>37.79</v>
      </c>
      <c r="I28" s="16">
        <v>500</v>
      </c>
      <c r="J28" s="16">
        <v>500</v>
      </c>
      <c r="K28" s="16">
        <v>500</v>
      </c>
      <c r="L28" s="29"/>
      <c r="M28" s="29"/>
      <c r="N28" s="29"/>
      <c r="O28" s="29"/>
      <c r="P28" s="29"/>
      <c r="Q28" s="29"/>
      <c r="R28" s="25"/>
    </row>
    <row r="29" spans="1:18" x14ac:dyDescent="0.25">
      <c r="A29" s="4"/>
      <c r="B29" s="4"/>
      <c r="C29" s="4"/>
      <c r="D29" s="4" t="s">
        <v>40</v>
      </c>
      <c r="E29" s="4"/>
      <c r="F29" s="4"/>
      <c r="G29" s="16">
        <v>175</v>
      </c>
      <c r="H29" s="16">
        <v>150</v>
      </c>
      <c r="I29" s="16">
        <v>102</v>
      </c>
      <c r="J29" s="16">
        <v>102</v>
      </c>
      <c r="K29" s="16">
        <v>300</v>
      </c>
      <c r="L29" s="29"/>
      <c r="M29" s="29"/>
      <c r="N29" s="29"/>
      <c r="O29" s="29"/>
      <c r="P29" s="29"/>
      <c r="Q29" s="29"/>
      <c r="R29" s="25"/>
    </row>
    <row r="30" spans="1:18" x14ac:dyDescent="0.25">
      <c r="A30" s="4"/>
      <c r="B30" s="4"/>
      <c r="C30" s="4"/>
      <c r="D30" s="4" t="s">
        <v>41</v>
      </c>
      <c r="E30" s="4"/>
      <c r="F30" s="4"/>
      <c r="G30" s="16"/>
      <c r="H30" s="16"/>
      <c r="I30" s="16"/>
      <c r="J30" s="16"/>
      <c r="K30" s="16"/>
      <c r="L30" s="29"/>
      <c r="M30" s="29"/>
      <c r="N30" s="29"/>
      <c r="O30" s="29"/>
      <c r="P30" s="29"/>
      <c r="Q30" s="29"/>
      <c r="R30" s="25"/>
    </row>
    <row r="31" spans="1:18" x14ac:dyDescent="0.25">
      <c r="A31" s="4"/>
      <c r="B31" s="4"/>
      <c r="C31" s="4"/>
      <c r="D31" s="4"/>
      <c r="E31" s="4" t="s">
        <v>42</v>
      </c>
      <c r="F31" s="4"/>
      <c r="G31" s="16">
        <v>16500</v>
      </c>
      <c r="H31" s="16">
        <v>9000</v>
      </c>
      <c r="I31" s="16">
        <v>9000</v>
      </c>
      <c r="J31" s="16">
        <f>+I31/7*12</f>
        <v>15428.571428571429</v>
      </c>
      <c r="K31" s="16">
        <f>1500*12</f>
        <v>18000</v>
      </c>
      <c r="L31" s="29"/>
      <c r="M31" s="29"/>
      <c r="N31" s="29"/>
      <c r="O31" s="29"/>
      <c r="P31" s="29"/>
      <c r="Q31" s="29"/>
      <c r="R31" s="25"/>
    </row>
    <row r="32" spans="1:18" x14ac:dyDescent="0.25">
      <c r="A32" s="4"/>
      <c r="B32" s="4"/>
      <c r="C32" s="4"/>
      <c r="D32" s="4"/>
      <c r="E32" s="4" t="s">
        <v>36</v>
      </c>
      <c r="F32" s="4"/>
      <c r="G32" s="16">
        <f t="shared" ref="G32" si="0">+F32/7*12</f>
        <v>0</v>
      </c>
      <c r="H32" s="17"/>
      <c r="I32" s="16">
        <v>1060</v>
      </c>
      <c r="J32" s="16">
        <v>1060</v>
      </c>
      <c r="K32" s="16">
        <v>3000</v>
      </c>
      <c r="L32" s="29"/>
      <c r="M32" s="29"/>
      <c r="N32" s="29"/>
      <c r="O32" s="29"/>
      <c r="P32" s="29"/>
      <c r="Q32" s="29"/>
      <c r="R32" s="25"/>
    </row>
    <row r="33" spans="1:18" x14ac:dyDescent="0.25">
      <c r="A33" s="4"/>
      <c r="B33" s="4"/>
      <c r="C33" s="4"/>
      <c r="D33" s="4"/>
      <c r="E33" s="4" t="s">
        <v>250</v>
      </c>
      <c r="F33" s="4"/>
      <c r="G33" s="16">
        <v>218.6</v>
      </c>
      <c r="H33" s="16">
        <v>2903.36</v>
      </c>
      <c r="I33" s="16">
        <v>130.6</v>
      </c>
      <c r="J33" s="16">
        <v>130.6</v>
      </c>
      <c r="K33" s="16"/>
      <c r="L33" s="29"/>
      <c r="M33" s="29"/>
      <c r="N33" s="29"/>
      <c r="O33" s="29"/>
      <c r="P33" s="29"/>
      <c r="Q33" s="29"/>
      <c r="R33" s="25"/>
    </row>
    <row r="34" spans="1:18" x14ac:dyDescent="0.25">
      <c r="A34" s="4"/>
      <c r="B34" s="4"/>
      <c r="C34" s="4"/>
      <c r="D34" s="4"/>
      <c r="E34" s="4" t="s">
        <v>43</v>
      </c>
      <c r="F34" s="4"/>
      <c r="G34" s="16">
        <v>11839.46</v>
      </c>
      <c r="H34" s="16">
        <v>2903.36</v>
      </c>
      <c r="I34" s="16"/>
      <c r="J34" s="16"/>
      <c r="K34" s="16"/>
      <c r="L34" s="29"/>
      <c r="M34" s="29"/>
      <c r="N34" s="29"/>
      <c r="O34" s="29"/>
      <c r="P34" s="29"/>
      <c r="Q34" s="29"/>
      <c r="R34" s="25"/>
    </row>
    <row r="35" spans="1:18" x14ac:dyDescent="0.25">
      <c r="A35" s="4"/>
      <c r="B35" s="4"/>
      <c r="C35" s="4"/>
      <c r="D35" s="4"/>
      <c r="E35" s="4" t="s">
        <v>251</v>
      </c>
      <c r="F35" s="4"/>
      <c r="G35" s="16">
        <v>661</v>
      </c>
      <c r="H35" s="5">
        <v>500</v>
      </c>
      <c r="I35" s="16">
        <v>0</v>
      </c>
      <c r="J35" s="16">
        <v>0</v>
      </c>
      <c r="K35" s="16">
        <v>0</v>
      </c>
      <c r="L35" s="29"/>
      <c r="M35" s="29"/>
      <c r="N35" s="29"/>
      <c r="O35" s="29"/>
      <c r="P35" s="29"/>
      <c r="Q35" s="29"/>
      <c r="R35" s="25"/>
    </row>
    <row r="36" spans="1:18" x14ac:dyDescent="0.25">
      <c r="A36" s="4"/>
      <c r="B36" s="4"/>
      <c r="C36" s="4"/>
      <c r="D36" s="4"/>
      <c r="E36" s="4" t="s">
        <v>252</v>
      </c>
      <c r="F36" s="4"/>
      <c r="G36" s="16">
        <v>606</v>
      </c>
      <c r="H36" s="5">
        <v>500</v>
      </c>
      <c r="I36" s="16">
        <v>0</v>
      </c>
      <c r="J36" s="16">
        <v>0</v>
      </c>
      <c r="K36" s="16">
        <v>0</v>
      </c>
      <c r="L36" s="29"/>
      <c r="M36" s="29"/>
      <c r="N36" s="29"/>
      <c r="O36" s="29"/>
      <c r="P36" s="29"/>
      <c r="Q36" s="29"/>
      <c r="R36" s="25"/>
    </row>
    <row r="37" spans="1:18" x14ac:dyDescent="0.25">
      <c r="A37" s="4"/>
      <c r="B37" s="4"/>
      <c r="C37" s="4"/>
      <c r="D37" s="4"/>
      <c r="E37" s="4" t="s">
        <v>263</v>
      </c>
      <c r="F37" s="4"/>
      <c r="G37" s="16">
        <v>0</v>
      </c>
      <c r="H37" s="5">
        <v>500</v>
      </c>
      <c r="I37" s="16">
        <v>2719.5</v>
      </c>
      <c r="J37" s="16">
        <v>2719.5</v>
      </c>
      <c r="K37" s="16">
        <v>6000</v>
      </c>
      <c r="L37" s="29"/>
      <c r="M37" s="29"/>
      <c r="N37" s="29"/>
      <c r="O37" s="29"/>
      <c r="P37" s="29"/>
      <c r="Q37" s="29"/>
      <c r="R37" s="25"/>
    </row>
    <row r="38" spans="1:18" x14ac:dyDescent="0.25">
      <c r="A38" s="4"/>
      <c r="B38" s="4"/>
      <c r="C38" s="4"/>
      <c r="D38" s="4"/>
      <c r="E38" s="4" t="s">
        <v>189</v>
      </c>
      <c r="F38" s="4"/>
      <c r="G38" s="16">
        <v>3100</v>
      </c>
      <c r="H38" s="5">
        <v>500</v>
      </c>
      <c r="I38" s="16">
        <v>5850</v>
      </c>
      <c r="J38" s="16">
        <f>+I38/7*12</f>
        <v>10028.571428571428</v>
      </c>
      <c r="K38" s="16">
        <v>6000</v>
      </c>
      <c r="L38" s="29"/>
      <c r="M38" s="29"/>
      <c r="N38" s="29"/>
      <c r="O38" s="29"/>
      <c r="P38" s="29"/>
      <c r="Q38" s="29"/>
      <c r="R38" s="25"/>
    </row>
    <row r="39" spans="1:18" x14ac:dyDescent="0.25">
      <c r="A39" s="4"/>
      <c r="B39" s="4"/>
      <c r="C39" s="4"/>
      <c r="D39" s="4"/>
      <c r="E39" s="4" t="s">
        <v>44</v>
      </c>
      <c r="F39" s="4"/>
      <c r="G39" s="16">
        <v>740.43</v>
      </c>
      <c r="H39" s="16">
        <v>740.43</v>
      </c>
      <c r="I39" s="16">
        <v>734.16</v>
      </c>
      <c r="J39" s="16">
        <v>734.16</v>
      </c>
      <c r="K39" s="16">
        <v>700</v>
      </c>
      <c r="L39" s="29"/>
      <c r="M39" s="29"/>
      <c r="N39" s="29"/>
      <c r="O39" s="29"/>
      <c r="P39" s="29"/>
      <c r="Q39" s="29"/>
      <c r="R39" s="25"/>
    </row>
    <row r="40" spans="1:18" x14ac:dyDescent="0.25">
      <c r="A40" s="4"/>
      <c r="B40" s="4"/>
      <c r="C40" s="4"/>
      <c r="E40" s="4" t="s">
        <v>35</v>
      </c>
      <c r="F40" s="4"/>
      <c r="G40" s="18">
        <v>1918.6</v>
      </c>
      <c r="H40" s="18">
        <v>406.38</v>
      </c>
      <c r="I40" s="18"/>
      <c r="J40" s="18"/>
      <c r="K40" s="18"/>
      <c r="L40" s="29"/>
      <c r="M40" s="29"/>
      <c r="N40" s="29"/>
      <c r="O40" s="29"/>
      <c r="P40" s="29"/>
      <c r="Q40" s="29"/>
      <c r="R40" s="25"/>
    </row>
    <row r="41" spans="1:18" x14ac:dyDescent="0.25">
      <c r="A41" s="4"/>
      <c r="B41" s="4"/>
      <c r="C41" s="4"/>
      <c r="D41" s="4" t="s">
        <v>2</v>
      </c>
      <c r="E41" s="4"/>
      <c r="F41" s="4"/>
      <c r="H41" s="5"/>
      <c r="I41" s="16"/>
      <c r="J41" s="16"/>
      <c r="K41" s="16"/>
      <c r="L41" s="29"/>
      <c r="M41" s="29"/>
      <c r="N41" s="29"/>
      <c r="O41" s="29"/>
      <c r="P41" s="29"/>
      <c r="Q41" s="29"/>
      <c r="R41" s="25"/>
    </row>
    <row r="42" spans="1:18" hidden="1" x14ac:dyDescent="0.25">
      <c r="A42" s="4"/>
      <c r="B42" s="4"/>
      <c r="C42" s="4"/>
      <c r="D42" s="4"/>
      <c r="E42" s="4" t="s">
        <v>3</v>
      </c>
      <c r="F42" s="4"/>
      <c r="G42" s="16"/>
      <c r="H42" s="25">
        <v>19055.43</v>
      </c>
      <c r="I42" s="16"/>
      <c r="J42" s="16"/>
      <c r="K42" s="16"/>
      <c r="L42" s="29"/>
      <c r="M42" s="29"/>
      <c r="N42" s="29"/>
      <c r="O42" s="29"/>
      <c r="P42" s="29"/>
      <c r="Q42" s="29"/>
    </row>
    <row r="43" spans="1:18" hidden="1" x14ac:dyDescent="0.25">
      <c r="A43" s="4"/>
      <c r="B43" s="4"/>
      <c r="C43" s="4"/>
      <c r="D43" s="4"/>
      <c r="E43" s="4" t="s">
        <v>4</v>
      </c>
      <c r="F43" s="4"/>
      <c r="G43" s="17"/>
      <c r="H43" s="17"/>
      <c r="I43" s="16"/>
      <c r="J43" s="16"/>
      <c r="K43" s="16"/>
      <c r="L43" s="29"/>
      <c r="M43" s="29"/>
      <c r="N43" s="29"/>
      <c r="O43" s="29"/>
      <c r="P43" s="29"/>
      <c r="Q43" s="29"/>
    </row>
    <row r="44" spans="1:18" hidden="1" x14ac:dyDescent="0.25">
      <c r="A44" s="4"/>
      <c r="B44" s="4"/>
      <c r="C44" s="4"/>
      <c r="D44" s="4"/>
      <c r="E44" s="4" t="s">
        <v>5</v>
      </c>
      <c r="F44" s="4"/>
      <c r="G44" s="16"/>
      <c r="H44" s="25">
        <v>1540.88</v>
      </c>
      <c r="I44" s="16"/>
      <c r="J44" s="16"/>
      <c r="K44" s="16"/>
      <c r="L44" s="29"/>
      <c r="M44" s="29"/>
      <c r="N44" s="29"/>
      <c r="O44" s="29"/>
      <c r="P44" s="29"/>
      <c r="Q44" s="29"/>
    </row>
    <row r="45" spans="1:18" hidden="1" x14ac:dyDescent="0.25">
      <c r="A45" s="4"/>
      <c r="B45" s="4"/>
      <c r="C45" s="4"/>
      <c r="D45" s="4"/>
      <c r="E45" s="4" t="s">
        <v>6</v>
      </c>
      <c r="F45" s="4"/>
      <c r="G45" s="16"/>
      <c r="H45" s="25">
        <v>15</v>
      </c>
      <c r="I45" s="16"/>
      <c r="J45" s="16"/>
      <c r="K45" s="16"/>
      <c r="L45" s="29"/>
      <c r="M45" s="29"/>
      <c r="N45" s="29"/>
      <c r="O45" s="29"/>
      <c r="P45" s="29"/>
      <c r="Q45" s="29"/>
    </row>
    <row r="46" spans="1:18" hidden="1" x14ac:dyDescent="0.25">
      <c r="A46" s="4"/>
      <c r="B46" s="4"/>
      <c r="C46" s="4"/>
      <c r="D46" s="4"/>
      <c r="E46" s="4" t="s">
        <v>7</v>
      </c>
      <c r="F46" s="4"/>
      <c r="G46" s="16"/>
      <c r="H46" s="25">
        <v>1238.26</v>
      </c>
      <c r="I46" s="16"/>
      <c r="J46" s="16"/>
      <c r="K46" s="16"/>
      <c r="L46" s="29"/>
      <c r="M46" s="29"/>
      <c r="N46" s="29"/>
      <c r="O46" s="29"/>
      <c r="P46" s="29"/>
      <c r="Q46" s="29"/>
    </row>
    <row r="47" spans="1:18" hidden="1" x14ac:dyDescent="0.25">
      <c r="A47" s="4"/>
      <c r="B47" s="4"/>
      <c r="C47" s="4"/>
      <c r="D47" s="4"/>
      <c r="E47" s="4" t="s">
        <v>8</v>
      </c>
      <c r="F47" s="4"/>
      <c r="G47" s="16"/>
      <c r="H47" s="25">
        <v>27621.02</v>
      </c>
      <c r="I47" s="16"/>
      <c r="J47" s="16"/>
      <c r="K47" s="16"/>
      <c r="L47" s="29"/>
      <c r="M47" s="29"/>
      <c r="N47" s="29"/>
      <c r="O47" s="29"/>
      <c r="P47" s="29"/>
      <c r="Q47" s="29"/>
    </row>
    <row r="48" spans="1:18" hidden="1" x14ac:dyDescent="0.25">
      <c r="A48" s="4"/>
      <c r="B48" s="4"/>
      <c r="C48" s="4"/>
      <c r="D48" s="4"/>
      <c r="E48" s="4" t="s">
        <v>9</v>
      </c>
      <c r="F48" s="4"/>
      <c r="G48" s="16"/>
      <c r="H48" s="25">
        <v>728</v>
      </c>
      <c r="I48" s="16"/>
      <c r="J48" s="16"/>
      <c r="K48" s="16"/>
      <c r="L48" s="29"/>
      <c r="M48" s="29"/>
      <c r="N48" s="29"/>
      <c r="O48" s="29"/>
      <c r="P48" s="29"/>
      <c r="Q48" s="29"/>
    </row>
    <row r="49" spans="1:18" hidden="1" x14ac:dyDescent="0.25">
      <c r="A49" s="4"/>
      <c r="B49" s="4"/>
      <c r="C49" s="4"/>
      <c r="D49" s="4"/>
      <c r="E49" s="4" t="s">
        <v>10</v>
      </c>
      <c r="F49" s="4"/>
      <c r="G49" s="16"/>
      <c r="H49" s="25">
        <v>230</v>
      </c>
      <c r="I49" s="16"/>
      <c r="J49" s="16"/>
      <c r="K49" s="16"/>
      <c r="L49" s="29"/>
      <c r="M49" s="29"/>
      <c r="N49" s="29"/>
      <c r="O49" s="29"/>
      <c r="P49" s="29"/>
      <c r="Q49" s="29"/>
    </row>
    <row r="50" spans="1:18" hidden="1" x14ac:dyDescent="0.25">
      <c r="A50" s="4"/>
      <c r="B50" s="4"/>
      <c r="C50" s="4"/>
      <c r="D50" s="4"/>
      <c r="E50" s="4" t="s">
        <v>11</v>
      </c>
      <c r="F50" s="4"/>
      <c r="G50" s="16"/>
      <c r="H50" s="25">
        <v>40</v>
      </c>
      <c r="I50" s="16"/>
      <c r="J50" s="16"/>
      <c r="K50" s="16"/>
      <c r="L50" s="29"/>
      <c r="M50" s="29"/>
      <c r="N50" s="29"/>
      <c r="O50" s="29"/>
      <c r="P50" s="29"/>
      <c r="Q50" s="29"/>
    </row>
    <row r="51" spans="1:18" hidden="1" x14ac:dyDescent="0.25">
      <c r="A51" s="4"/>
      <c r="B51" s="4"/>
      <c r="C51" s="4"/>
      <c r="D51" s="4"/>
      <c r="E51" s="4" t="s">
        <v>12</v>
      </c>
      <c r="F51" s="4"/>
      <c r="G51" s="16"/>
      <c r="H51" s="25">
        <v>520.80999999999995</v>
      </c>
      <c r="I51" s="16"/>
      <c r="J51" s="16"/>
      <c r="K51" s="16"/>
      <c r="L51" s="29"/>
      <c r="M51" s="29"/>
      <c r="N51" s="29"/>
      <c r="O51" s="29"/>
      <c r="P51" s="29"/>
      <c r="Q51" s="29"/>
    </row>
    <row r="52" spans="1:18" hidden="1" x14ac:dyDescent="0.25">
      <c r="A52" s="4"/>
      <c r="B52" s="4"/>
      <c r="C52" s="4"/>
      <c r="D52" s="4"/>
      <c r="E52" s="4" t="s">
        <v>13</v>
      </c>
      <c r="F52" s="4"/>
      <c r="G52" s="16"/>
      <c r="H52" s="25">
        <v>12344.6</v>
      </c>
      <c r="I52" s="16"/>
      <c r="J52" s="16"/>
      <c r="K52" s="16"/>
      <c r="L52" s="29"/>
      <c r="M52" s="29"/>
      <c r="N52" s="29"/>
      <c r="O52" s="29"/>
      <c r="P52" s="29"/>
      <c r="Q52" s="29"/>
    </row>
    <row r="53" spans="1:18" hidden="1" x14ac:dyDescent="0.25">
      <c r="A53" s="4"/>
      <c r="B53" s="4"/>
      <c r="C53" s="4"/>
      <c r="D53" s="4"/>
      <c r="E53" s="4" t="s">
        <v>14</v>
      </c>
      <c r="F53" s="4"/>
      <c r="G53" s="16"/>
      <c r="H53" s="25">
        <v>3356.94</v>
      </c>
      <c r="I53" s="16"/>
      <c r="J53" s="16"/>
      <c r="K53" s="16"/>
      <c r="L53" s="29"/>
      <c r="M53" s="29"/>
      <c r="N53" s="29"/>
      <c r="O53" s="29"/>
      <c r="P53" s="29"/>
      <c r="Q53" s="29"/>
    </row>
    <row r="54" spans="1:18" hidden="1" x14ac:dyDescent="0.25">
      <c r="A54" s="4"/>
      <c r="B54" s="4"/>
      <c r="C54" s="4"/>
      <c r="D54" s="4"/>
      <c r="E54" s="4" t="s">
        <v>15</v>
      </c>
      <c r="F54" s="4"/>
      <c r="G54" s="16"/>
      <c r="H54" s="25">
        <v>443.3</v>
      </c>
      <c r="I54" s="16"/>
      <c r="J54" s="16"/>
      <c r="K54" s="16"/>
      <c r="L54" s="29"/>
      <c r="M54" s="29"/>
      <c r="N54" s="29"/>
      <c r="O54" s="29"/>
      <c r="P54" s="29"/>
      <c r="Q54" s="29"/>
      <c r="R54" s="25"/>
    </row>
    <row r="55" spans="1:18" hidden="1" x14ac:dyDescent="0.25">
      <c r="A55" s="4"/>
      <c r="B55" s="4"/>
      <c r="C55" s="4"/>
      <c r="D55" s="4"/>
      <c r="E55" s="4" t="s">
        <v>16</v>
      </c>
      <c r="F55" s="4"/>
      <c r="G55" s="17"/>
      <c r="H55" s="17"/>
      <c r="I55" s="16"/>
      <c r="J55" s="16"/>
      <c r="K55" s="16"/>
      <c r="L55" s="29"/>
      <c r="M55" s="29"/>
      <c r="N55" s="29"/>
      <c r="O55" s="29"/>
      <c r="P55" s="29"/>
      <c r="Q55" s="29"/>
      <c r="R55" s="25"/>
    </row>
    <row r="56" spans="1:18" hidden="1" x14ac:dyDescent="0.25">
      <c r="A56" s="4"/>
      <c r="B56" s="4"/>
      <c r="C56" s="4"/>
      <c r="D56" s="4"/>
      <c r="E56" s="4" t="s">
        <v>17</v>
      </c>
      <c r="F56" s="4"/>
      <c r="G56" s="16"/>
      <c r="H56" s="16">
        <v>12</v>
      </c>
      <c r="I56" s="16"/>
      <c r="J56" s="16"/>
      <c r="K56" s="16"/>
      <c r="L56" s="29"/>
      <c r="M56" s="29"/>
      <c r="N56" s="29"/>
      <c r="O56" s="29"/>
      <c r="P56" s="29"/>
      <c r="Q56" s="29"/>
      <c r="R56" s="25"/>
    </row>
    <row r="57" spans="1:18" hidden="1" x14ac:dyDescent="0.25">
      <c r="A57" s="4"/>
      <c r="B57" s="4"/>
      <c r="C57" s="4"/>
      <c r="D57" s="4"/>
      <c r="E57" s="4" t="s">
        <v>18</v>
      </c>
      <c r="F57" s="4"/>
      <c r="G57" s="16"/>
      <c r="H57" s="16">
        <v>337.81</v>
      </c>
      <c r="I57" s="16"/>
      <c r="J57" s="16"/>
      <c r="K57" s="16"/>
      <c r="L57" s="29"/>
      <c r="M57" s="29"/>
      <c r="N57" s="29"/>
      <c r="O57" s="29"/>
      <c r="P57" s="29"/>
      <c r="Q57" s="29"/>
      <c r="R57" s="25"/>
    </row>
    <row r="58" spans="1:18" hidden="1" x14ac:dyDescent="0.25">
      <c r="A58" s="4"/>
      <c r="B58" s="4"/>
      <c r="C58" s="4"/>
      <c r="D58" s="4"/>
      <c r="E58" s="4" t="s">
        <v>19</v>
      </c>
      <c r="F58" s="4"/>
      <c r="G58" s="16"/>
      <c r="H58" s="16">
        <v>960.17</v>
      </c>
      <c r="I58" s="16"/>
      <c r="J58" s="16"/>
      <c r="K58" s="16"/>
      <c r="L58" s="29"/>
      <c r="M58" s="29"/>
      <c r="N58" s="29"/>
      <c r="O58" s="29"/>
      <c r="P58" s="29"/>
      <c r="Q58" s="29"/>
      <c r="R58" s="25"/>
    </row>
    <row r="59" spans="1:18" hidden="1" x14ac:dyDescent="0.25">
      <c r="A59" s="4"/>
      <c r="B59" s="4"/>
      <c r="C59" s="4"/>
      <c r="D59" s="4"/>
      <c r="E59" s="4" t="s">
        <v>20</v>
      </c>
      <c r="F59" s="4"/>
      <c r="G59" s="16"/>
      <c r="H59" s="16">
        <v>4</v>
      </c>
      <c r="I59" s="16"/>
      <c r="J59" s="16"/>
      <c r="K59" s="16"/>
      <c r="L59" s="29"/>
      <c r="M59" s="29"/>
      <c r="N59" s="29"/>
      <c r="O59" s="29"/>
      <c r="P59" s="29"/>
      <c r="Q59" s="29"/>
      <c r="R59" s="25"/>
    </row>
    <row r="60" spans="1:18" hidden="1" x14ac:dyDescent="0.25">
      <c r="A60" s="4"/>
      <c r="B60" s="4"/>
      <c r="C60" s="4"/>
      <c r="D60" s="4"/>
      <c r="E60" s="4" t="s">
        <v>21</v>
      </c>
      <c r="F60" s="4"/>
      <c r="G60" s="16"/>
      <c r="H60" s="16">
        <v>8</v>
      </c>
      <c r="I60" s="16"/>
      <c r="J60" s="16"/>
      <c r="K60" s="16"/>
      <c r="L60" s="29"/>
      <c r="M60" s="29"/>
      <c r="N60" s="29"/>
      <c r="O60" s="29"/>
      <c r="P60" s="29"/>
      <c r="Q60" s="29"/>
      <c r="R60" s="25"/>
    </row>
    <row r="61" spans="1:18" hidden="1" x14ac:dyDescent="0.25">
      <c r="A61" s="4"/>
      <c r="B61" s="4"/>
      <c r="C61" s="4"/>
      <c r="D61" s="4"/>
      <c r="E61" s="4" t="s">
        <v>22</v>
      </c>
      <c r="F61" s="4"/>
      <c r="G61" s="16"/>
      <c r="H61" s="16">
        <v>4</v>
      </c>
      <c r="I61" s="16"/>
      <c r="J61" s="16"/>
      <c r="K61" s="16"/>
      <c r="L61" s="29"/>
      <c r="M61" s="29"/>
      <c r="N61" s="29"/>
      <c r="O61" s="29"/>
      <c r="P61" s="29"/>
      <c r="Q61" s="29"/>
      <c r="R61" s="25"/>
    </row>
    <row r="62" spans="1:18" hidden="1" x14ac:dyDescent="0.25">
      <c r="A62" s="4"/>
      <c r="B62" s="4"/>
      <c r="C62" s="4"/>
      <c r="D62" s="4"/>
      <c r="E62" s="4" t="s">
        <v>23</v>
      </c>
      <c r="F62" s="4"/>
      <c r="G62" s="16"/>
      <c r="H62" s="16">
        <v>12491.11</v>
      </c>
      <c r="I62" s="16"/>
      <c r="J62" s="16"/>
      <c r="K62" s="16"/>
      <c r="L62" s="29"/>
      <c r="M62" s="29"/>
      <c r="N62" s="29"/>
      <c r="O62" s="29"/>
      <c r="P62" s="29"/>
      <c r="Q62" s="29"/>
      <c r="R62" s="25"/>
    </row>
    <row r="63" spans="1:18" hidden="1" x14ac:dyDescent="0.25">
      <c r="A63" s="4"/>
      <c r="B63" s="4"/>
      <c r="C63" s="4"/>
      <c r="D63" s="4"/>
      <c r="E63" s="4" t="s">
        <v>24</v>
      </c>
      <c r="F63" s="4"/>
      <c r="G63" s="16"/>
      <c r="H63" s="16">
        <v>950.44</v>
      </c>
      <c r="I63" s="16"/>
      <c r="J63" s="16"/>
      <c r="K63" s="16"/>
      <c r="L63" s="29"/>
      <c r="M63" s="29"/>
      <c r="N63" s="29"/>
      <c r="O63" s="29"/>
      <c r="P63" s="29"/>
      <c r="Q63" s="29"/>
      <c r="R63" s="25"/>
    </row>
    <row r="64" spans="1:18" hidden="1" x14ac:dyDescent="0.25">
      <c r="A64" s="4"/>
      <c r="B64" s="4"/>
      <c r="C64" s="4"/>
      <c r="D64" s="4"/>
      <c r="E64" s="4" t="s">
        <v>25</v>
      </c>
      <c r="F64" s="4"/>
      <c r="G64" s="16"/>
      <c r="H64" s="16">
        <v>0.1</v>
      </c>
      <c r="I64" s="16"/>
      <c r="J64" s="16"/>
      <c r="K64" s="16"/>
      <c r="L64" s="29"/>
      <c r="M64" s="29"/>
      <c r="N64" s="29"/>
      <c r="O64" s="29"/>
      <c r="P64" s="29"/>
      <c r="Q64" s="29"/>
      <c r="R64" s="25"/>
    </row>
    <row r="65" spans="1:18" hidden="1" x14ac:dyDescent="0.25">
      <c r="A65" s="4"/>
      <c r="B65" s="4"/>
      <c r="C65" s="4"/>
      <c r="D65" s="4"/>
      <c r="E65" s="4" t="s">
        <v>26</v>
      </c>
      <c r="F65" s="4"/>
      <c r="G65" s="18"/>
      <c r="H65" s="18">
        <v>1257.3900000000001</v>
      </c>
      <c r="I65" s="16"/>
      <c r="J65" s="16"/>
      <c r="K65" s="16"/>
      <c r="L65" s="29"/>
      <c r="M65" s="29"/>
      <c r="N65" s="29"/>
      <c r="O65" s="29"/>
      <c r="P65" s="29"/>
      <c r="Q65" s="29"/>
      <c r="R65" s="25"/>
    </row>
    <row r="66" spans="1:18" ht="15.75" hidden="1" thickBot="1" x14ac:dyDescent="0.3">
      <c r="A66" s="4"/>
      <c r="B66" s="4"/>
      <c r="C66" s="4"/>
      <c r="D66" s="4"/>
      <c r="E66" s="4" t="s">
        <v>27</v>
      </c>
      <c r="F66" s="4"/>
      <c r="G66" s="26"/>
      <c r="H66" s="20"/>
      <c r="I66" s="16"/>
      <c r="J66" s="16"/>
      <c r="K66" s="16"/>
      <c r="L66" s="29"/>
      <c r="M66" s="29"/>
      <c r="N66" s="29"/>
      <c r="O66" s="29"/>
      <c r="P66" s="29"/>
      <c r="Q66" s="29"/>
      <c r="R66" s="25"/>
    </row>
    <row r="67" spans="1:18" x14ac:dyDescent="0.25">
      <c r="A67" s="4"/>
      <c r="B67" s="4"/>
      <c r="C67" s="4"/>
      <c r="D67" s="4" t="s">
        <v>28</v>
      </c>
      <c r="E67" s="4"/>
      <c r="F67" s="4"/>
      <c r="G67" s="5">
        <v>149786.26</v>
      </c>
      <c r="H67" s="16">
        <f>ROUND(SUM(H41:H65),5)</f>
        <v>83159.259999999995</v>
      </c>
      <c r="I67" s="16">
        <v>98135.3</v>
      </c>
      <c r="J67" s="16">
        <f>+I67/7*12</f>
        <v>168231.94285714286</v>
      </c>
      <c r="K67" s="16">
        <v>160000</v>
      </c>
      <c r="L67" s="29"/>
      <c r="M67" s="29"/>
      <c r="N67" s="29"/>
      <c r="O67" s="29"/>
      <c r="P67" s="29"/>
      <c r="Q67" s="29"/>
      <c r="R67" s="25"/>
    </row>
    <row r="68" spans="1:18" x14ac:dyDescent="0.25">
      <c r="A68" s="4"/>
      <c r="B68" s="4"/>
      <c r="C68" s="4"/>
      <c r="D68" s="4" t="s">
        <v>46</v>
      </c>
      <c r="E68" s="4"/>
      <c r="F68" s="4"/>
      <c r="G68" s="16"/>
      <c r="I68" s="16"/>
      <c r="J68" s="16"/>
      <c r="K68" s="16"/>
      <c r="L68" s="29"/>
      <c r="M68" s="29"/>
      <c r="N68" s="29"/>
      <c r="O68" s="29"/>
      <c r="P68" s="29"/>
      <c r="Q68" s="29"/>
      <c r="R68" s="25"/>
    </row>
    <row r="69" spans="1:18" hidden="1" x14ac:dyDescent="0.25">
      <c r="A69" s="4"/>
      <c r="B69" s="4"/>
      <c r="C69" s="4"/>
      <c r="D69" s="4"/>
      <c r="E69" s="4" t="s">
        <v>47</v>
      </c>
      <c r="F69" s="4"/>
      <c r="G69" s="16"/>
      <c r="H69" s="25">
        <v>360</v>
      </c>
      <c r="I69" s="16"/>
      <c r="J69" s="16"/>
      <c r="K69" s="16"/>
      <c r="L69" s="29"/>
      <c r="M69" s="29"/>
      <c r="N69" s="29"/>
      <c r="O69" s="29"/>
      <c r="P69" s="29"/>
      <c r="Q69" s="29"/>
      <c r="R69" s="25"/>
    </row>
    <row r="70" spans="1:18" hidden="1" x14ac:dyDescent="0.25">
      <c r="A70" s="4"/>
      <c r="B70" s="4"/>
      <c r="C70" s="4"/>
      <c r="D70" s="4"/>
      <c r="E70" s="4" t="s">
        <v>48</v>
      </c>
      <c r="F70" s="4"/>
      <c r="G70" s="16"/>
      <c r="H70" s="25">
        <v>78</v>
      </c>
      <c r="I70" s="16"/>
      <c r="J70" s="16"/>
      <c r="K70" s="16"/>
      <c r="L70" s="29"/>
      <c r="M70" s="29"/>
      <c r="N70" s="29"/>
      <c r="O70" s="29"/>
      <c r="P70" s="29"/>
      <c r="Q70" s="29"/>
      <c r="R70" s="25"/>
    </row>
    <row r="71" spans="1:18" hidden="1" x14ac:dyDescent="0.25">
      <c r="A71" s="4"/>
      <c r="B71" s="4"/>
      <c r="C71" s="4"/>
      <c r="D71" s="4"/>
      <c r="E71" s="4" t="s">
        <v>49</v>
      </c>
      <c r="F71" s="4"/>
      <c r="G71" s="16"/>
      <c r="H71" s="25">
        <v>26</v>
      </c>
      <c r="I71" s="16"/>
      <c r="J71" s="16"/>
      <c r="K71" s="16"/>
      <c r="L71" s="29"/>
      <c r="M71" s="29"/>
      <c r="N71" s="29"/>
      <c r="O71" s="29"/>
      <c r="P71" s="29"/>
      <c r="Q71" s="29"/>
      <c r="R71" s="25"/>
    </row>
    <row r="72" spans="1:18" hidden="1" x14ac:dyDescent="0.25">
      <c r="A72" s="4"/>
      <c r="B72" s="4"/>
      <c r="C72" s="4"/>
      <c r="D72" s="4"/>
      <c r="E72" s="4" t="s">
        <v>50</v>
      </c>
      <c r="F72" s="4"/>
      <c r="G72" s="16"/>
      <c r="H72" s="25">
        <v>52</v>
      </c>
      <c r="I72" s="16"/>
      <c r="J72" s="16"/>
      <c r="K72" s="16"/>
      <c r="L72" s="29"/>
      <c r="M72" s="29"/>
      <c r="N72" s="29"/>
      <c r="O72" s="29"/>
      <c r="P72" s="29"/>
      <c r="Q72" s="29"/>
      <c r="R72" s="25"/>
    </row>
    <row r="73" spans="1:18" hidden="1" x14ac:dyDescent="0.25">
      <c r="A73" s="4"/>
      <c r="B73" s="4"/>
      <c r="C73" s="4"/>
      <c r="D73" s="4"/>
      <c r="E73" s="4" t="s">
        <v>51</v>
      </c>
      <c r="F73" s="4"/>
      <c r="G73" s="16"/>
      <c r="H73" s="25">
        <v>16</v>
      </c>
      <c r="I73" s="16"/>
      <c r="J73" s="16"/>
      <c r="K73" s="16"/>
      <c r="L73" s="29"/>
      <c r="M73" s="29"/>
      <c r="N73" s="29"/>
      <c r="O73" s="29"/>
      <c r="P73" s="29"/>
      <c r="Q73" s="29"/>
      <c r="R73" s="25"/>
    </row>
    <row r="74" spans="1:18" hidden="1" x14ac:dyDescent="0.25">
      <c r="A74" s="4"/>
      <c r="B74" s="4"/>
      <c r="C74" s="4"/>
      <c r="D74" s="4"/>
      <c r="E74" s="4" t="s">
        <v>52</v>
      </c>
      <c r="F74" s="4"/>
      <c r="G74" s="16"/>
      <c r="H74" s="25">
        <v>349.4</v>
      </c>
      <c r="I74" s="16"/>
      <c r="J74" s="16"/>
      <c r="K74" s="16"/>
      <c r="L74" s="29"/>
      <c r="M74" s="29"/>
      <c r="N74" s="29"/>
      <c r="O74" s="29"/>
      <c r="P74" s="29"/>
      <c r="Q74" s="29"/>
      <c r="R74" s="25"/>
    </row>
    <row r="75" spans="1:18" hidden="1" x14ac:dyDescent="0.25">
      <c r="A75" s="4"/>
      <c r="B75" s="4"/>
      <c r="C75" s="4"/>
      <c r="D75" s="4"/>
      <c r="E75" s="4" t="s">
        <v>53</v>
      </c>
      <c r="F75" s="4"/>
      <c r="G75" s="16"/>
      <c r="H75" s="25">
        <v>3.24</v>
      </c>
      <c r="I75" s="16"/>
      <c r="J75" s="16"/>
      <c r="K75" s="16"/>
      <c r="L75" s="29"/>
      <c r="M75" s="29"/>
      <c r="N75" s="29"/>
      <c r="O75" s="29"/>
      <c r="P75" s="29"/>
      <c r="Q75" s="29"/>
      <c r="R75" s="25"/>
    </row>
    <row r="76" spans="1:18" hidden="1" x14ac:dyDescent="0.25">
      <c r="A76" s="4"/>
      <c r="B76" s="4"/>
      <c r="C76" s="4"/>
      <c r="D76" s="4"/>
      <c r="E76" s="4" t="s">
        <v>54</v>
      </c>
      <c r="F76" s="4"/>
      <c r="G76" s="16"/>
      <c r="H76" s="25">
        <v>44695.27</v>
      </c>
      <c r="I76" s="16"/>
      <c r="J76" s="16"/>
      <c r="K76" s="16"/>
      <c r="L76" s="29"/>
      <c r="M76" s="29"/>
      <c r="N76" s="29"/>
      <c r="O76" s="29"/>
      <c r="P76" s="29"/>
      <c r="Q76" s="29"/>
      <c r="R76" s="25"/>
    </row>
    <row r="77" spans="1:18" hidden="1" x14ac:dyDescent="0.25">
      <c r="A77" s="4"/>
      <c r="B77" s="4"/>
      <c r="C77" s="4"/>
      <c r="D77" s="4"/>
      <c r="E77" s="4" t="s">
        <v>55</v>
      </c>
      <c r="F77" s="4"/>
      <c r="G77" s="16"/>
      <c r="H77" s="25">
        <v>3023.84</v>
      </c>
      <c r="I77" s="16"/>
      <c r="J77" s="16"/>
      <c r="K77" s="16"/>
      <c r="L77" s="29"/>
      <c r="M77" s="29"/>
      <c r="N77" s="29"/>
      <c r="O77" s="29"/>
      <c r="P77" s="29"/>
      <c r="Q77" s="29"/>
      <c r="R77" s="25"/>
    </row>
    <row r="78" spans="1:18" hidden="1" x14ac:dyDescent="0.25">
      <c r="A78" s="4"/>
      <c r="B78" s="4"/>
      <c r="C78" s="4"/>
      <c r="D78" s="4"/>
      <c r="E78" s="4" t="s">
        <v>56</v>
      </c>
      <c r="F78" s="4"/>
      <c r="G78" s="16"/>
      <c r="H78" s="25">
        <v>37.9</v>
      </c>
      <c r="I78" s="16"/>
      <c r="J78" s="16"/>
      <c r="K78" s="16"/>
      <c r="L78" s="29"/>
      <c r="M78" s="29"/>
      <c r="N78" s="29"/>
      <c r="O78" s="29"/>
      <c r="P78" s="29"/>
      <c r="Q78" s="29"/>
      <c r="R78" s="25"/>
    </row>
    <row r="79" spans="1:18" hidden="1" x14ac:dyDescent="0.25">
      <c r="A79" s="4"/>
      <c r="B79" s="4"/>
      <c r="C79" s="4"/>
      <c r="D79" s="4"/>
      <c r="E79" s="4" t="s">
        <v>57</v>
      </c>
      <c r="F79" s="4"/>
      <c r="G79" s="16"/>
      <c r="H79" s="25">
        <v>2937.06</v>
      </c>
      <c r="I79" s="16"/>
      <c r="J79" s="16"/>
      <c r="K79" s="16"/>
      <c r="L79" s="29"/>
      <c r="M79" s="29"/>
      <c r="N79" s="29"/>
      <c r="O79" s="29"/>
      <c r="P79" s="29"/>
      <c r="Q79" s="29"/>
      <c r="R79" s="25"/>
    </row>
    <row r="80" spans="1:18" hidden="1" x14ac:dyDescent="0.25">
      <c r="A80" s="4"/>
      <c r="B80" s="4"/>
      <c r="C80" s="4"/>
      <c r="D80" s="4"/>
      <c r="E80" s="4" t="s">
        <v>58</v>
      </c>
      <c r="F80" s="4"/>
      <c r="G80" s="16"/>
      <c r="H80" s="25">
        <v>74766.81</v>
      </c>
      <c r="I80" s="16"/>
      <c r="J80" s="16"/>
      <c r="K80" s="16"/>
      <c r="L80" s="29"/>
      <c r="M80" s="29"/>
      <c r="N80" s="29"/>
      <c r="O80" s="29"/>
      <c r="P80" s="29"/>
      <c r="Q80" s="29"/>
      <c r="R80" s="25"/>
    </row>
    <row r="81" spans="1:18" hidden="1" x14ac:dyDescent="0.25">
      <c r="A81" s="4"/>
      <c r="B81" s="4"/>
      <c r="C81" s="4"/>
      <c r="D81" s="4"/>
      <c r="E81" s="4" t="s">
        <v>59</v>
      </c>
      <c r="F81" s="4"/>
      <c r="G81" s="16"/>
      <c r="H81" s="25">
        <v>1616</v>
      </c>
      <c r="I81" s="16"/>
      <c r="J81" s="16"/>
      <c r="K81" s="16"/>
      <c r="L81" s="29"/>
      <c r="M81" s="29"/>
      <c r="N81" s="29"/>
      <c r="O81" s="29"/>
      <c r="P81" s="29"/>
      <c r="Q81" s="29"/>
      <c r="R81" s="25"/>
    </row>
    <row r="82" spans="1:18" hidden="1" x14ac:dyDescent="0.25">
      <c r="A82" s="4"/>
      <c r="B82" s="4"/>
      <c r="C82" s="4"/>
      <c r="D82" s="4"/>
      <c r="E82" s="4" t="s">
        <v>60</v>
      </c>
      <c r="F82" s="4"/>
      <c r="G82" s="16"/>
      <c r="H82" s="25">
        <v>1526.28</v>
      </c>
      <c r="I82" s="16"/>
      <c r="J82" s="16"/>
      <c r="K82" s="16"/>
      <c r="L82" s="29"/>
      <c r="M82" s="29"/>
      <c r="N82" s="29"/>
      <c r="O82" s="29"/>
      <c r="P82" s="29"/>
      <c r="Q82" s="29"/>
      <c r="R82" s="25"/>
    </row>
    <row r="83" spans="1:18" hidden="1" x14ac:dyDescent="0.25">
      <c r="A83" s="4"/>
      <c r="B83" s="4"/>
      <c r="C83" s="4"/>
      <c r="D83" s="4"/>
      <c r="E83" s="4" t="s">
        <v>61</v>
      </c>
      <c r="F83" s="4"/>
      <c r="G83" s="16"/>
      <c r="H83" s="25">
        <v>1169.1600000000001</v>
      </c>
      <c r="I83" s="16"/>
      <c r="J83" s="16"/>
      <c r="K83" s="16"/>
      <c r="L83" s="29"/>
      <c r="M83" s="29"/>
      <c r="N83" s="29"/>
      <c r="O83" s="29"/>
      <c r="P83" s="29"/>
      <c r="Q83" s="29"/>
      <c r="R83" s="25"/>
    </row>
    <row r="84" spans="1:18" hidden="1" x14ac:dyDescent="0.25">
      <c r="A84" s="4"/>
      <c r="B84" s="4"/>
      <c r="C84" s="4"/>
      <c r="D84" s="4"/>
      <c r="E84" s="4" t="s">
        <v>62</v>
      </c>
      <c r="F84" s="4"/>
      <c r="G84" s="17"/>
      <c r="H84" s="25">
        <v>25</v>
      </c>
      <c r="I84" s="16"/>
      <c r="J84" s="16"/>
      <c r="K84" s="16"/>
      <c r="L84" s="29"/>
      <c r="M84" s="29"/>
      <c r="N84" s="29"/>
      <c r="O84" s="29"/>
      <c r="P84" s="29"/>
      <c r="Q84" s="29"/>
      <c r="R84" s="25"/>
    </row>
    <row r="85" spans="1:18" hidden="1" x14ac:dyDescent="0.25">
      <c r="A85" s="4"/>
      <c r="B85" s="4"/>
      <c r="C85" s="4"/>
      <c r="D85" s="4"/>
      <c r="E85" s="4" t="s">
        <v>63</v>
      </c>
      <c r="F85" s="4"/>
      <c r="G85" s="16"/>
      <c r="H85" s="25">
        <v>29969.06</v>
      </c>
      <c r="I85" s="16"/>
      <c r="J85" s="16"/>
      <c r="K85" s="16"/>
      <c r="L85" s="29"/>
      <c r="M85" s="29"/>
      <c r="N85" s="29"/>
      <c r="O85" s="29"/>
      <c r="P85" s="29"/>
      <c r="Q85" s="29"/>
      <c r="R85" s="25"/>
    </row>
    <row r="86" spans="1:18" hidden="1" x14ac:dyDescent="0.25">
      <c r="A86" s="4"/>
      <c r="B86" s="4"/>
      <c r="C86" s="4"/>
      <c r="D86" s="4"/>
      <c r="E86" s="4" t="s">
        <v>64</v>
      </c>
      <c r="F86" s="4"/>
      <c r="G86" s="16"/>
      <c r="H86" s="25">
        <v>8859.19</v>
      </c>
      <c r="I86" s="16"/>
      <c r="J86" s="16"/>
      <c r="K86" s="16"/>
      <c r="L86" s="29"/>
      <c r="M86" s="29"/>
      <c r="N86" s="29"/>
      <c r="O86" s="29"/>
      <c r="P86" s="29"/>
      <c r="Q86" s="29"/>
      <c r="R86" s="25"/>
    </row>
    <row r="87" spans="1:18" hidden="1" x14ac:dyDescent="0.25">
      <c r="A87" s="4"/>
      <c r="B87" s="4"/>
      <c r="C87" s="4"/>
      <c r="D87" s="4"/>
      <c r="E87" s="4" t="s">
        <v>65</v>
      </c>
      <c r="F87" s="4"/>
      <c r="G87" s="16"/>
      <c r="H87" s="25">
        <v>834.5</v>
      </c>
      <c r="I87" s="16"/>
      <c r="J87" s="16"/>
      <c r="K87" s="16"/>
      <c r="L87" s="29"/>
      <c r="M87" s="29"/>
      <c r="N87" s="29"/>
      <c r="O87" s="29"/>
      <c r="P87" s="29"/>
      <c r="Q87" s="29"/>
      <c r="R87" s="25"/>
    </row>
    <row r="88" spans="1:18" hidden="1" x14ac:dyDescent="0.25">
      <c r="A88" s="4"/>
      <c r="B88" s="4"/>
      <c r="C88" s="4"/>
      <c r="D88" s="4"/>
      <c r="E88" s="4" t="s">
        <v>66</v>
      </c>
      <c r="F88" s="4"/>
      <c r="G88" s="16"/>
      <c r="H88" s="25">
        <v>544.05999999999995</v>
      </c>
      <c r="I88" s="16"/>
      <c r="J88" s="16"/>
      <c r="K88" s="16"/>
      <c r="L88" s="29"/>
      <c r="M88" s="29"/>
      <c r="N88" s="29"/>
      <c r="O88" s="29"/>
      <c r="P88" s="29"/>
      <c r="Q88" s="29"/>
      <c r="R88" s="25"/>
    </row>
    <row r="89" spans="1:18" hidden="1" x14ac:dyDescent="0.25">
      <c r="A89" s="4"/>
      <c r="B89" s="4"/>
      <c r="C89" s="4"/>
      <c r="D89" s="4"/>
      <c r="E89" s="4" t="s">
        <v>67</v>
      </c>
      <c r="F89" s="4"/>
      <c r="G89" s="16"/>
      <c r="H89" s="25">
        <v>74.33</v>
      </c>
      <c r="I89" s="16"/>
      <c r="J89" s="16"/>
      <c r="K89" s="16"/>
      <c r="L89" s="29"/>
      <c r="M89" s="29"/>
      <c r="N89" s="29"/>
      <c r="O89" s="29"/>
      <c r="P89" s="29"/>
      <c r="Q89" s="29"/>
      <c r="R89" s="25"/>
    </row>
    <row r="90" spans="1:18" hidden="1" x14ac:dyDescent="0.25">
      <c r="A90" s="4"/>
      <c r="B90" s="4"/>
      <c r="C90" s="4"/>
      <c r="D90" s="4"/>
      <c r="E90" s="4" t="s">
        <v>68</v>
      </c>
      <c r="F90" s="4"/>
      <c r="G90" s="16"/>
      <c r="H90" s="25">
        <v>3602.9</v>
      </c>
      <c r="I90" s="16"/>
      <c r="J90" s="16"/>
      <c r="K90" s="16"/>
      <c r="L90" s="29"/>
      <c r="M90" s="29"/>
      <c r="N90" s="29"/>
      <c r="O90" s="29"/>
      <c r="P90" s="29"/>
      <c r="Q90" s="29"/>
      <c r="R90" s="25"/>
    </row>
    <row r="91" spans="1:18" hidden="1" x14ac:dyDescent="0.25">
      <c r="A91" s="4"/>
      <c r="B91" s="4"/>
      <c r="C91" s="4"/>
      <c r="D91" s="4"/>
      <c r="E91" s="4" t="s">
        <v>69</v>
      </c>
      <c r="F91" s="4"/>
      <c r="G91" s="16"/>
      <c r="H91" s="25">
        <v>34288.43</v>
      </c>
      <c r="I91" s="16"/>
      <c r="J91" s="16"/>
      <c r="K91" s="16"/>
      <c r="L91" s="29"/>
      <c r="M91" s="29"/>
      <c r="N91" s="29"/>
      <c r="O91" s="29"/>
      <c r="P91" s="29"/>
      <c r="Q91" s="29"/>
      <c r="R91" s="25"/>
    </row>
    <row r="92" spans="1:18" hidden="1" x14ac:dyDescent="0.25">
      <c r="A92" s="4"/>
      <c r="B92" s="4"/>
      <c r="C92" s="4"/>
      <c r="D92" s="4"/>
      <c r="E92" s="4" t="s">
        <v>70</v>
      </c>
      <c r="F92" s="4"/>
      <c r="G92" s="16"/>
      <c r="H92" s="25">
        <v>2548.69</v>
      </c>
      <c r="I92" s="16"/>
      <c r="J92" s="16"/>
      <c r="K92" s="16"/>
      <c r="L92" s="29"/>
      <c r="M92" s="29"/>
      <c r="N92" s="29"/>
      <c r="O92" s="29"/>
      <c r="P92" s="29"/>
      <c r="Q92" s="29"/>
      <c r="R92" s="25"/>
    </row>
    <row r="93" spans="1:18" hidden="1" x14ac:dyDescent="0.25">
      <c r="A93" s="4"/>
      <c r="B93" s="4"/>
      <c r="C93" s="4"/>
      <c r="D93" s="4"/>
      <c r="E93" s="4" t="s">
        <v>71</v>
      </c>
      <c r="F93" s="4"/>
      <c r="G93" s="16"/>
      <c r="H93" s="25">
        <v>3713.25</v>
      </c>
      <c r="I93" s="16"/>
      <c r="J93" s="16"/>
      <c r="K93" s="16"/>
      <c r="L93" s="29"/>
      <c r="M93" s="29"/>
      <c r="N93" s="29"/>
      <c r="O93" s="29"/>
      <c r="P93" s="29"/>
      <c r="Q93" s="29"/>
      <c r="R93" s="25"/>
    </row>
    <row r="94" spans="1:18" ht="15.75" hidden="1" thickBot="1" x14ac:dyDescent="0.3">
      <c r="A94" s="4"/>
      <c r="B94" s="4"/>
      <c r="C94" s="4"/>
      <c r="D94" s="4"/>
      <c r="E94" s="4" t="s">
        <v>72</v>
      </c>
      <c r="F94" s="4"/>
      <c r="G94" s="18"/>
      <c r="H94" s="19">
        <v>604</v>
      </c>
      <c r="I94" s="16"/>
      <c r="J94" s="16"/>
      <c r="K94" s="16"/>
      <c r="L94" s="29"/>
      <c r="M94" s="29"/>
      <c r="N94" s="29"/>
      <c r="O94" s="29"/>
      <c r="P94" s="29"/>
      <c r="Q94" s="29"/>
      <c r="R94" s="25"/>
    </row>
    <row r="95" spans="1:18" ht="15.75" thickBot="1" x14ac:dyDescent="0.3">
      <c r="A95" s="4"/>
      <c r="B95" s="4"/>
      <c r="C95" s="4"/>
      <c r="D95" s="4" t="s">
        <v>73</v>
      </c>
      <c r="E95" s="4"/>
      <c r="F95" s="4"/>
      <c r="G95" s="19">
        <v>372220.25</v>
      </c>
      <c r="H95" s="19">
        <f>ROUND(SUM(H69:H94),5)</f>
        <v>215720.37</v>
      </c>
      <c r="I95" s="19">
        <v>449917.09</v>
      </c>
      <c r="J95" s="19">
        <f>+I95/7*12</f>
        <v>771286.44000000006</v>
      </c>
      <c r="K95" s="19">
        <v>725000</v>
      </c>
      <c r="L95" s="29"/>
      <c r="M95" s="29"/>
      <c r="N95" s="29"/>
      <c r="O95" s="29"/>
      <c r="P95" s="29"/>
      <c r="Q95" s="29"/>
      <c r="R95" s="25"/>
    </row>
    <row r="96" spans="1:18" x14ac:dyDescent="0.25">
      <c r="A96" s="4"/>
      <c r="B96" s="4"/>
      <c r="C96" s="4"/>
      <c r="D96" s="4" t="s">
        <v>45</v>
      </c>
      <c r="E96" s="4"/>
      <c r="F96" s="4"/>
      <c r="G96" s="18">
        <f t="shared" ref="G96" si="1">ROUND(SUM(G30:G95),5)</f>
        <v>557590.6</v>
      </c>
      <c r="H96" s="18">
        <f>ROUND(SUM(H30:H40),5)</f>
        <v>17953.53</v>
      </c>
      <c r="I96" s="18">
        <f t="shared" ref="I96:J96" si="2">ROUND(SUM(I30:I95),5)</f>
        <v>567546.65</v>
      </c>
      <c r="J96" s="18">
        <f t="shared" si="2"/>
        <v>969619.78570999997</v>
      </c>
      <c r="K96" s="18">
        <f>ROUND(SUM(K30:K95),5)</f>
        <v>918700</v>
      </c>
      <c r="L96" s="29"/>
      <c r="M96" s="29"/>
      <c r="N96" s="29"/>
      <c r="O96" s="29"/>
      <c r="P96" s="29"/>
      <c r="Q96" s="29"/>
      <c r="R96" s="25"/>
    </row>
    <row r="97" spans="1:18" x14ac:dyDescent="0.25">
      <c r="A97" s="4"/>
      <c r="B97" s="4"/>
      <c r="C97" s="4"/>
      <c r="D97" s="4" t="s">
        <v>178</v>
      </c>
      <c r="E97" s="4"/>
      <c r="F97" s="4"/>
      <c r="G97" s="16">
        <v>35113.760000000002</v>
      </c>
      <c r="H97" s="16">
        <v>30493.85</v>
      </c>
      <c r="I97" s="16">
        <v>21478.12</v>
      </c>
      <c r="J97" s="16">
        <v>21478.12</v>
      </c>
      <c r="K97" s="16">
        <v>32221.21</v>
      </c>
      <c r="L97" s="29"/>
      <c r="M97" s="29"/>
      <c r="N97" s="29"/>
      <c r="O97" s="29"/>
      <c r="P97" s="29"/>
      <c r="Q97" s="29"/>
      <c r="R97" s="25"/>
    </row>
    <row r="98" spans="1:18" x14ac:dyDescent="0.25">
      <c r="A98" s="4"/>
      <c r="B98" s="4"/>
      <c r="C98" s="4"/>
      <c r="D98" s="4" t="s">
        <v>74</v>
      </c>
      <c r="E98" s="4"/>
      <c r="F98" s="4"/>
      <c r="G98" s="16">
        <v>25204.46</v>
      </c>
      <c r="H98" s="16">
        <v>14767.09</v>
      </c>
      <c r="I98" s="16">
        <v>15536.61</v>
      </c>
      <c r="J98" s="16">
        <f>+I98/7*12</f>
        <v>26634.188571428571</v>
      </c>
      <c r="K98" s="16">
        <v>17000</v>
      </c>
      <c r="L98" s="29"/>
      <c r="M98" s="29"/>
      <c r="N98" s="29"/>
      <c r="O98" s="29"/>
      <c r="P98" s="29"/>
      <c r="Q98" s="29"/>
      <c r="R98" s="25"/>
    </row>
    <row r="99" spans="1:18" x14ac:dyDescent="0.25">
      <c r="A99" s="4"/>
      <c r="B99" s="4"/>
      <c r="C99" s="4"/>
      <c r="D99" s="4" t="s">
        <v>75</v>
      </c>
      <c r="E99" s="4"/>
      <c r="F99" s="4"/>
      <c r="G99" s="16">
        <v>33956.46</v>
      </c>
      <c r="H99" s="16">
        <v>66.84</v>
      </c>
      <c r="I99" s="16"/>
      <c r="J99" s="16"/>
      <c r="K99" s="16"/>
      <c r="L99" s="29"/>
      <c r="M99" s="29"/>
      <c r="N99" s="29"/>
      <c r="O99" s="29"/>
      <c r="P99" s="29"/>
      <c r="Q99" s="29"/>
      <c r="R99" s="25"/>
    </row>
    <row r="100" spans="1:18" ht="15.75" thickBot="1" x14ac:dyDescent="0.3">
      <c r="A100" s="4"/>
      <c r="B100" s="4"/>
      <c r="C100" s="4"/>
      <c r="D100" s="4" t="s">
        <v>76</v>
      </c>
      <c r="E100" s="4"/>
      <c r="F100" s="4"/>
      <c r="G100" s="16">
        <f>461.24+88.9</f>
        <v>550.14</v>
      </c>
      <c r="H100" s="25">
        <v>96.11</v>
      </c>
      <c r="I100" s="16">
        <f>981.01+433.2+248.84</f>
        <v>1663.05</v>
      </c>
      <c r="J100" s="16">
        <v>1663.05</v>
      </c>
      <c r="K100" s="16">
        <v>2000</v>
      </c>
      <c r="L100" s="29"/>
      <c r="M100" s="29"/>
      <c r="N100" s="29"/>
      <c r="O100" s="29"/>
      <c r="P100" s="29"/>
      <c r="Q100" s="29"/>
      <c r="R100" s="25"/>
    </row>
    <row r="101" spans="1:18" ht="15.75" thickBot="1" x14ac:dyDescent="0.3">
      <c r="A101" s="4"/>
      <c r="B101" s="4"/>
      <c r="C101" s="4" t="s">
        <v>77</v>
      </c>
      <c r="D101" s="4"/>
      <c r="E101" s="4"/>
      <c r="F101" s="4"/>
      <c r="G101" s="21">
        <f>ROUND(G10+G11+G14+G15+SUM(G19:G19)+G24+G28+SUM(G29:G29)+G96,5)</f>
        <v>847095.25</v>
      </c>
      <c r="H101" s="21">
        <f>ROUND(H18+SUM(H19:H19)+H24+SUM(H28:H29)+H96+SUM(H95:H100),5)</f>
        <v>308313.92</v>
      </c>
      <c r="I101" s="21">
        <f>ROUND(I10+I11+I14+I15+SUM(I19:I19)+I24+I28+SUM(I29:I29)+I96,5)</f>
        <v>845310.66</v>
      </c>
      <c r="J101" s="21">
        <f>ROUND(J10+J11+J14+J15+SUM(J19:J19)+J24+J28+SUM(J29:J29)+J96,5)</f>
        <v>1321242.2671399999</v>
      </c>
      <c r="K101" s="21">
        <f>ROUND(K10+K11+K14+K15+SUM(K19:K19)+K24+K28+SUM(K29:K29)+K96,5)</f>
        <v>1329100</v>
      </c>
      <c r="L101" s="29"/>
      <c r="M101" s="29"/>
      <c r="N101" s="29"/>
      <c r="O101" s="29"/>
      <c r="P101" s="29"/>
      <c r="Q101" s="29"/>
      <c r="R101" s="25"/>
    </row>
    <row r="102" spans="1:18" x14ac:dyDescent="0.25">
      <c r="A102" s="4"/>
      <c r="B102" s="4" t="s">
        <v>78</v>
      </c>
      <c r="C102" s="4"/>
      <c r="D102" s="4"/>
      <c r="E102" s="4"/>
      <c r="F102" s="4"/>
      <c r="G102" s="16">
        <f>G101</f>
        <v>847095.25</v>
      </c>
      <c r="H102" s="16">
        <f>H101</f>
        <v>308313.92</v>
      </c>
      <c r="I102" s="16">
        <f>I101</f>
        <v>845310.66</v>
      </c>
      <c r="J102" s="16">
        <f>J101</f>
        <v>1321242.2671399999</v>
      </c>
      <c r="K102" s="16">
        <f>K101</f>
        <v>1329100</v>
      </c>
      <c r="L102" s="29"/>
      <c r="M102" s="29"/>
      <c r="N102" s="29"/>
      <c r="O102" s="29"/>
      <c r="P102" s="29"/>
      <c r="Q102" s="29"/>
      <c r="R102" s="25"/>
    </row>
    <row r="103" spans="1:18" x14ac:dyDescent="0.25">
      <c r="A103" s="4"/>
      <c r="B103" s="4"/>
      <c r="C103" s="4"/>
      <c r="D103" s="4"/>
      <c r="E103" s="4"/>
      <c r="F103" s="4"/>
      <c r="G103" s="12">
        <v>2022</v>
      </c>
      <c r="I103" s="12">
        <v>2023</v>
      </c>
      <c r="J103" s="12">
        <v>2023</v>
      </c>
      <c r="K103" s="50">
        <v>2024</v>
      </c>
      <c r="L103" s="29"/>
      <c r="M103" s="29"/>
      <c r="N103" s="29"/>
      <c r="O103" s="29"/>
      <c r="P103" s="29"/>
      <c r="Q103" s="29"/>
      <c r="R103" s="25"/>
    </row>
    <row r="104" spans="1:18" x14ac:dyDescent="0.25">
      <c r="A104" s="4"/>
      <c r="B104" s="4"/>
      <c r="C104" s="4"/>
      <c r="D104" s="4"/>
      <c r="E104" s="4"/>
      <c r="F104" s="4"/>
      <c r="G104" s="7" t="s">
        <v>171</v>
      </c>
      <c r="I104" s="7" t="s">
        <v>172</v>
      </c>
      <c r="J104" s="7" t="s">
        <v>172</v>
      </c>
      <c r="K104" s="33" t="s">
        <v>173</v>
      </c>
      <c r="L104" s="29"/>
      <c r="M104" s="29"/>
      <c r="N104" s="29"/>
      <c r="O104" s="29"/>
      <c r="P104" s="29"/>
      <c r="Q104" s="29"/>
      <c r="R104" s="25"/>
    </row>
    <row r="105" spans="1:18" x14ac:dyDescent="0.25">
      <c r="A105" s="4"/>
      <c r="B105" s="4"/>
      <c r="C105" s="4" t="s">
        <v>79</v>
      </c>
      <c r="D105" s="4"/>
      <c r="E105" s="4"/>
      <c r="F105" s="4"/>
      <c r="G105" s="16"/>
      <c r="H105" s="16"/>
      <c r="I105" s="16"/>
      <c r="J105" s="16"/>
      <c r="K105" s="16"/>
      <c r="L105" s="29"/>
      <c r="M105" s="29"/>
      <c r="N105" s="29"/>
      <c r="O105" s="29"/>
      <c r="P105" s="29"/>
      <c r="Q105" s="29"/>
      <c r="R105" s="25"/>
    </row>
    <row r="106" spans="1:18" x14ac:dyDescent="0.25">
      <c r="A106" s="4"/>
      <c r="B106" s="4"/>
      <c r="C106" s="4"/>
      <c r="D106" s="4" t="s">
        <v>80</v>
      </c>
      <c r="E106" s="4"/>
      <c r="F106" s="4"/>
      <c r="G106" s="16">
        <v>595</v>
      </c>
      <c r="H106" s="16">
        <v>195</v>
      </c>
      <c r="I106" s="16">
        <v>1100</v>
      </c>
      <c r="J106" s="16">
        <v>1100</v>
      </c>
      <c r="K106" s="16">
        <v>1100</v>
      </c>
      <c r="L106" s="29"/>
      <c r="M106" s="29"/>
      <c r="N106" s="29"/>
      <c r="O106" s="29"/>
      <c r="P106" s="29"/>
      <c r="Q106" s="29"/>
      <c r="R106" s="25"/>
    </row>
    <row r="107" spans="1:18" x14ac:dyDescent="0.25">
      <c r="A107" s="4"/>
      <c r="B107" s="4"/>
      <c r="C107" s="4"/>
      <c r="D107" s="4" t="s">
        <v>81</v>
      </c>
      <c r="E107" s="4"/>
      <c r="F107" s="4"/>
      <c r="G107" s="16">
        <v>300</v>
      </c>
      <c r="H107" s="25">
        <v>175</v>
      </c>
      <c r="I107" s="16">
        <v>300</v>
      </c>
      <c r="J107" s="16">
        <v>300</v>
      </c>
      <c r="K107" s="16">
        <v>300</v>
      </c>
      <c r="L107" s="29"/>
      <c r="M107" s="29"/>
      <c r="N107" s="29"/>
      <c r="O107" s="29"/>
      <c r="P107" s="29"/>
      <c r="Q107" s="29"/>
      <c r="R107" s="25"/>
    </row>
    <row r="108" spans="1:18" x14ac:dyDescent="0.25">
      <c r="A108" s="4"/>
      <c r="B108" s="4"/>
      <c r="C108" s="4"/>
      <c r="D108" s="4" t="s">
        <v>82</v>
      </c>
      <c r="E108" s="4"/>
      <c r="F108" s="4"/>
      <c r="G108" s="16">
        <v>125</v>
      </c>
      <c r="H108" s="16">
        <v>125</v>
      </c>
      <c r="I108" s="16">
        <v>0</v>
      </c>
      <c r="J108" s="16">
        <v>0</v>
      </c>
      <c r="K108" s="16">
        <v>1800</v>
      </c>
      <c r="L108" s="29"/>
      <c r="M108" s="29"/>
      <c r="N108" s="29"/>
      <c r="O108" s="29"/>
      <c r="P108" s="29"/>
      <c r="Q108" s="29"/>
      <c r="R108" s="25"/>
    </row>
    <row r="109" spans="1:18" x14ac:dyDescent="0.25">
      <c r="A109" s="4"/>
      <c r="B109" s="4"/>
      <c r="C109" s="4"/>
      <c r="D109" s="4" t="s">
        <v>83</v>
      </c>
      <c r="E109" s="4"/>
      <c r="F109" s="4"/>
      <c r="G109" s="16">
        <v>500</v>
      </c>
      <c r="H109" s="17"/>
      <c r="I109" s="16">
        <v>500</v>
      </c>
      <c r="J109" s="16">
        <v>500</v>
      </c>
      <c r="K109" s="16">
        <v>500</v>
      </c>
      <c r="L109" s="29"/>
      <c r="M109" s="29"/>
      <c r="N109" s="29"/>
      <c r="O109" s="29"/>
      <c r="P109" s="29"/>
      <c r="Q109" s="29"/>
      <c r="R109" s="25"/>
    </row>
    <row r="110" spans="1:18" x14ac:dyDescent="0.25">
      <c r="A110" s="4"/>
      <c r="B110" s="4"/>
      <c r="C110" s="4"/>
      <c r="D110" s="4" t="s">
        <v>256</v>
      </c>
      <c r="E110" s="4"/>
      <c r="F110" s="4"/>
      <c r="G110" s="16">
        <v>1244.5999999999999</v>
      </c>
      <c r="H110" s="16">
        <v>2565.9499999999998</v>
      </c>
      <c r="I110" s="16">
        <v>1831.01</v>
      </c>
      <c r="J110" s="16">
        <v>1831.01</v>
      </c>
      <c r="K110" s="16">
        <v>1200</v>
      </c>
      <c r="L110" s="29"/>
      <c r="M110" s="29"/>
      <c r="N110" s="29"/>
      <c r="O110" s="29"/>
      <c r="P110" s="29"/>
      <c r="Q110" s="29"/>
      <c r="R110" s="25"/>
    </row>
    <row r="111" spans="1:18" x14ac:dyDescent="0.25">
      <c r="A111" s="4"/>
      <c r="B111" s="4"/>
      <c r="C111" s="4"/>
      <c r="D111" s="4" t="s">
        <v>253</v>
      </c>
      <c r="E111" s="4"/>
      <c r="F111" s="4"/>
      <c r="G111" s="16">
        <v>2565.9499999999998</v>
      </c>
      <c r="H111" s="16">
        <v>2565.9499999999998</v>
      </c>
      <c r="I111" s="16">
        <v>2247.88</v>
      </c>
      <c r="J111" s="16">
        <v>2247.88</v>
      </c>
      <c r="K111" s="16">
        <v>1200</v>
      </c>
      <c r="L111" s="29"/>
      <c r="M111" s="29"/>
      <c r="N111" s="29"/>
      <c r="O111" s="29"/>
      <c r="P111" s="29"/>
      <c r="Q111" s="29"/>
      <c r="R111" s="25"/>
    </row>
    <row r="112" spans="1:18" x14ac:dyDescent="0.25">
      <c r="A112" s="4"/>
      <c r="B112" s="4"/>
      <c r="C112" s="4"/>
      <c r="D112" s="4" t="s">
        <v>190</v>
      </c>
      <c r="E112" s="4"/>
      <c r="F112" s="4"/>
      <c r="G112" s="16"/>
      <c r="H112" s="16">
        <v>2565.9499999999998</v>
      </c>
      <c r="I112" s="16">
        <v>0</v>
      </c>
      <c r="J112" s="16">
        <v>0</v>
      </c>
      <c r="K112" s="16">
        <v>1200</v>
      </c>
      <c r="L112" s="29"/>
      <c r="M112" s="29"/>
      <c r="N112" s="29"/>
      <c r="O112" s="29"/>
      <c r="P112" s="29"/>
      <c r="Q112" s="29"/>
      <c r="R112" s="25"/>
    </row>
    <row r="113" spans="1:18" x14ac:dyDescent="0.25">
      <c r="A113" s="4"/>
      <c r="B113" s="4"/>
      <c r="C113" s="4"/>
      <c r="D113" s="4" t="s">
        <v>120</v>
      </c>
      <c r="E113" s="4"/>
      <c r="F113" s="4"/>
      <c r="G113" s="16">
        <v>250</v>
      </c>
      <c r="H113" s="16">
        <v>150</v>
      </c>
      <c r="I113" s="16">
        <v>300</v>
      </c>
      <c r="J113" s="16">
        <v>300</v>
      </c>
      <c r="K113" s="16">
        <v>300</v>
      </c>
      <c r="L113" s="29"/>
      <c r="M113" s="29"/>
      <c r="N113" s="29"/>
      <c r="O113" s="29"/>
      <c r="P113" s="29"/>
      <c r="Q113" s="29"/>
      <c r="R113" s="25"/>
    </row>
    <row r="114" spans="1:18" x14ac:dyDescent="0.25">
      <c r="A114" s="4"/>
      <c r="B114" s="4"/>
      <c r="C114" s="4"/>
      <c r="D114" s="4" t="s">
        <v>121</v>
      </c>
      <c r="E114" s="4"/>
      <c r="F114" s="4"/>
      <c r="G114" s="17"/>
      <c r="H114" s="17"/>
      <c r="I114" s="16">
        <v>0</v>
      </c>
      <c r="J114" s="16">
        <v>0</v>
      </c>
      <c r="K114" s="16">
        <v>1000</v>
      </c>
      <c r="L114" s="29"/>
      <c r="M114" s="29"/>
      <c r="N114" s="29"/>
      <c r="O114" s="29"/>
      <c r="P114" s="29"/>
      <c r="Q114" s="29"/>
      <c r="R114" s="25"/>
    </row>
    <row r="115" spans="1:18" x14ac:dyDescent="0.25">
      <c r="A115" s="4"/>
      <c r="B115" s="4"/>
      <c r="C115" s="4"/>
      <c r="D115" s="4" t="s">
        <v>122</v>
      </c>
      <c r="E115" s="4"/>
      <c r="F115" s="4"/>
      <c r="G115" s="16">
        <v>604.20000000000005</v>
      </c>
      <c r="H115" s="16">
        <v>604.20000000000005</v>
      </c>
      <c r="I115" s="16">
        <v>644.75</v>
      </c>
      <c r="J115" s="16">
        <v>644.75</v>
      </c>
      <c r="K115" s="16">
        <v>700</v>
      </c>
      <c r="L115" s="29"/>
      <c r="M115" s="29"/>
      <c r="N115" s="29"/>
      <c r="O115" s="29"/>
      <c r="P115" s="29"/>
      <c r="Q115" s="29"/>
      <c r="R115" s="25"/>
    </row>
    <row r="116" spans="1:18" x14ac:dyDescent="0.25">
      <c r="A116" s="4"/>
      <c r="B116" s="4"/>
      <c r="C116" s="4"/>
      <c r="D116" s="4" t="s">
        <v>264</v>
      </c>
      <c r="E116" s="4"/>
      <c r="F116" s="4"/>
      <c r="G116" s="16">
        <f>1475+125</f>
        <v>1600</v>
      </c>
      <c r="H116" s="16">
        <v>800</v>
      </c>
      <c r="I116" s="16">
        <v>1389.91</v>
      </c>
      <c r="J116" s="16">
        <f>+I116/7*12</f>
        <v>2382.7028571428573</v>
      </c>
      <c r="K116" s="16">
        <v>2000</v>
      </c>
      <c r="L116" s="29"/>
      <c r="M116" s="29"/>
      <c r="N116" s="29"/>
      <c r="O116" s="29"/>
      <c r="P116" s="29"/>
      <c r="Q116" s="29"/>
      <c r="R116" s="25"/>
    </row>
    <row r="117" spans="1:18" x14ac:dyDescent="0.25">
      <c r="A117" s="4"/>
      <c r="B117" s="4"/>
      <c r="C117" s="4"/>
      <c r="D117" s="4" t="s">
        <v>126</v>
      </c>
      <c r="E117" s="4"/>
      <c r="F117" s="4"/>
      <c r="G117" s="16">
        <v>14922.73</v>
      </c>
      <c r="H117" s="16">
        <f>3426.82+200</f>
        <v>3626.82</v>
      </c>
      <c r="I117" s="16">
        <v>16145.62</v>
      </c>
      <c r="J117" s="16">
        <v>16145.62</v>
      </c>
      <c r="K117" s="16">
        <v>4500</v>
      </c>
      <c r="L117" s="29"/>
      <c r="M117" s="29"/>
      <c r="N117" s="29"/>
      <c r="O117" s="29"/>
      <c r="P117" s="29"/>
      <c r="Q117" s="29"/>
      <c r="R117" s="25"/>
    </row>
    <row r="118" spans="1:18" x14ac:dyDescent="0.25">
      <c r="A118" s="4"/>
      <c r="B118" s="4"/>
      <c r="C118" s="4"/>
      <c r="D118" s="4" t="s">
        <v>127</v>
      </c>
      <c r="E118" s="4"/>
      <c r="F118" s="4"/>
      <c r="G118" s="16"/>
      <c r="H118" s="16"/>
      <c r="I118" s="16"/>
      <c r="J118" s="16"/>
      <c r="K118" s="16"/>
      <c r="L118" s="29"/>
      <c r="M118" s="29"/>
      <c r="N118" s="29"/>
      <c r="O118" s="29"/>
      <c r="P118" s="29"/>
      <c r="Q118" s="29"/>
      <c r="R118" s="25"/>
    </row>
    <row r="119" spans="1:18" x14ac:dyDescent="0.25">
      <c r="A119" s="4"/>
      <c r="B119" s="4"/>
      <c r="C119" s="4"/>
      <c r="D119" s="4"/>
      <c r="E119" s="4" t="s">
        <v>128</v>
      </c>
      <c r="F119" s="4"/>
      <c r="G119" s="16">
        <v>494.5</v>
      </c>
      <c r="H119" s="16">
        <v>611.78</v>
      </c>
      <c r="I119" s="16">
        <f>275.5*7</f>
        <v>1928.5</v>
      </c>
      <c r="J119" s="16">
        <f>275.4*12</f>
        <v>3304.7999999999997</v>
      </c>
      <c r="K119" s="16">
        <f>140*12</f>
        <v>1680</v>
      </c>
      <c r="L119" s="29"/>
      <c r="M119" s="29"/>
      <c r="N119" s="29"/>
      <c r="O119" s="29"/>
      <c r="P119" s="29"/>
      <c r="Q119" s="29"/>
      <c r="R119" s="25"/>
    </row>
    <row r="120" spans="1:18" x14ac:dyDescent="0.25">
      <c r="A120" s="4"/>
      <c r="B120" s="4"/>
      <c r="C120" s="4"/>
      <c r="D120" s="4"/>
      <c r="E120" s="4" t="s">
        <v>186</v>
      </c>
      <c r="F120" s="4"/>
      <c r="G120" s="16">
        <f>11766.49+360</f>
        <v>12126.49</v>
      </c>
      <c r="H120" s="16">
        <v>7864.04</v>
      </c>
      <c r="I120" s="16">
        <v>8850</v>
      </c>
      <c r="J120" s="16">
        <v>8850</v>
      </c>
      <c r="K120" s="16">
        <v>8000</v>
      </c>
      <c r="L120" s="29"/>
      <c r="M120" s="29"/>
      <c r="N120" s="29"/>
      <c r="O120" s="29"/>
      <c r="P120" s="29"/>
      <c r="Q120" s="29"/>
      <c r="R120" s="25"/>
    </row>
    <row r="121" spans="1:18" x14ac:dyDescent="0.25">
      <c r="A121" s="4"/>
      <c r="B121" s="4"/>
      <c r="C121" s="4"/>
      <c r="D121" s="4"/>
      <c r="E121" s="4" t="s">
        <v>129</v>
      </c>
      <c r="F121" s="4"/>
      <c r="G121" s="16">
        <v>25192.1</v>
      </c>
      <c r="H121" s="16">
        <v>14783.7</v>
      </c>
      <c r="I121" s="16">
        <v>2854.5</v>
      </c>
      <c r="J121" s="16">
        <v>2854.5</v>
      </c>
      <c r="K121" s="16">
        <v>10000</v>
      </c>
      <c r="L121" s="29"/>
      <c r="M121" s="29"/>
      <c r="N121" s="29"/>
      <c r="O121" s="29"/>
      <c r="P121" s="29"/>
      <c r="Q121" s="29"/>
      <c r="R121" s="25"/>
    </row>
    <row r="122" spans="1:18" x14ac:dyDescent="0.25">
      <c r="A122" s="4"/>
      <c r="B122" s="4"/>
      <c r="C122" s="4"/>
      <c r="D122" s="4"/>
      <c r="E122" s="4" t="s">
        <v>187</v>
      </c>
      <c r="F122" s="4"/>
      <c r="G122" s="16">
        <v>594.21</v>
      </c>
      <c r="H122" s="16">
        <v>594.21</v>
      </c>
      <c r="I122" s="16">
        <v>2500</v>
      </c>
      <c r="J122" s="16">
        <v>1800</v>
      </c>
      <c r="K122" s="16">
        <v>2500</v>
      </c>
      <c r="L122" s="29"/>
      <c r="M122" s="29"/>
      <c r="N122" s="29"/>
      <c r="O122" s="29"/>
      <c r="P122" s="29"/>
      <c r="Q122" s="29"/>
      <c r="R122" s="25"/>
    </row>
    <row r="123" spans="1:18" x14ac:dyDescent="0.25">
      <c r="A123" s="4"/>
      <c r="B123" s="4"/>
      <c r="C123" s="4"/>
      <c r="D123" s="4"/>
      <c r="E123" s="4" t="s">
        <v>254</v>
      </c>
      <c r="F123" s="4"/>
      <c r="G123" s="16">
        <v>3793.06</v>
      </c>
      <c r="H123" s="16"/>
      <c r="I123" s="16">
        <v>1545.47</v>
      </c>
      <c r="J123" s="16">
        <v>1545.47</v>
      </c>
      <c r="K123" s="16">
        <v>2000</v>
      </c>
      <c r="L123" s="29"/>
      <c r="M123" s="29"/>
      <c r="N123" s="29"/>
      <c r="O123" s="29"/>
      <c r="P123" s="29"/>
      <c r="Q123" s="29"/>
      <c r="R123" s="25"/>
    </row>
    <row r="124" spans="1:18" x14ac:dyDescent="0.25">
      <c r="A124" s="4"/>
      <c r="B124" s="4"/>
      <c r="C124" s="4"/>
      <c r="D124" s="4"/>
      <c r="E124" s="4" t="s">
        <v>130</v>
      </c>
      <c r="F124" s="4"/>
      <c r="G124" s="16">
        <v>18775.23</v>
      </c>
      <c r="H124" s="16">
        <v>10705.6</v>
      </c>
      <c r="I124" s="16">
        <v>11211.93</v>
      </c>
      <c r="J124" s="16">
        <f>+I124/7*12</f>
        <v>19220.451428571429</v>
      </c>
      <c r="K124" s="16">
        <v>18000</v>
      </c>
      <c r="L124" s="29"/>
      <c r="M124" s="29"/>
      <c r="N124" s="29"/>
      <c r="O124" s="29"/>
      <c r="P124" s="29"/>
      <c r="Q124" s="29"/>
      <c r="R124" s="25"/>
    </row>
    <row r="125" spans="1:18" x14ac:dyDescent="0.25">
      <c r="A125" s="4"/>
      <c r="B125" s="4"/>
      <c r="C125" s="4"/>
      <c r="D125" s="4"/>
      <c r="E125" s="4" t="s">
        <v>44</v>
      </c>
      <c r="F125" s="4"/>
      <c r="G125" s="16">
        <v>2544.48</v>
      </c>
      <c r="H125" s="16">
        <v>1473.57</v>
      </c>
      <c r="I125" s="16">
        <v>1337.79</v>
      </c>
      <c r="J125" s="16">
        <v>1337.79</v>
      </c>
      <c r="K125" s="16">
        <v>800</v>
      </c>
      <c r="L125" s="29"/>
      <c r="M125" s="29"/>
      <c r="N125" s="29"/>
      <c r="O125" s="29"/>
      <c r="P125" s="29"/>
      <c r="Q125" s="29"/>
      <c r="R125" s="25"/>
    </row>
    <row r="126" spans="1:18" x14ac:dyDescent="0.25">
      <c r="A126" s="4"/>
      <c r="B126" s="4"/>
      <c r="C126" s="4"/>
      <c r="D126" s="4"/>
      <c r="E126" s="4" t="s">
        <v>131</v>
      </c>
      <c r="F126" s="4"/>
      <c r="G126" s="16">
        <v>6489.66</v>
      </c>
      <c r="H126" s="16">
        <v>2236.8200000000002</v>
      </c>
      <c r="I126" s="16">
        <v>135.19999999999999</v>
      </c>
      <c r="J126" s="16">
        <f>400*6</f>
        <v>2400</v>
      </c>
      <c r="K126" s="16">
        <v>4000</v>
      </c>
      <c r="L126" s="29"/>
      <c r="M126" s="29"/>
      <c r="N126" s="29"/>
      <c r="O126" s="29"/>
      <c r="P126" s="29"/>
      <c r="Q126" s="29"/>
      <c r="R126" s="25"/>
    </row>
    <row r="127" spans="1:18" x14ac:dyDescent="0.25">
      <c r="A127" s="4"/>
      <c r="B127" s="4"/>
      <c r="C127" s="4"/>
      <c r="D127" s="4"/>
      <c r="E127" s="4" t="s">
        <v>188</v>
      </c>
      <c r="F127" s="4"/>
      <c r="G127" s="16">
        <v>49110</v>
      </c>
      <c r="H127" s="16">
        <v>49110</v>
      </c>
      <c r="I127" s="16">
        <v>69</v>
      </c>
      <c r="J127" s="16">
        <v>30000</v>
      </c>
      <c r="K127" s="16"/>
      <c r="L127" s="29"/>
      <c r="M127" s="29"/>
      <c r="N127" s="29"/>
      <c r="O127" s="29"/>
      <c r="P127" s="29"/>
      <c r="Q127" s="29"/>
      <c r="R127" s="25"/>
    </row>
    <row r="128" spans="1:18" x14ac:dyDescent="0.25">
      <c r="A128" s="4"/>
      <c r="B128" s="4"/>
      <c r="C128" s="4"/>
      <c r="D128" s="4"/>
      <c r="E128" s="4" t="s">
        <v>132</v>
      </c>
      <c r="F128" s="4"/>
      <c r="G128" s="16">
        <v>32762.7</v>
      </c>
      <c r="H128" s="18">
        <v>17733.12</v>
      </c>
      <c r="I128" s="16">
        <v>9727.4599999999991</v>
      </c>
      <c r="J128" s="16">
        <v>9727.4599999999991</v>
      </c>
      <c r="K128" s="16">
        <v>20000</v>
      </c>
      <c r="L128" s="29"/>
      <c r="M128" s="29"/>
      <c r="N128" s="29"/>
      <c r="O128" s="29"/>
      <c r="P128" s="29"/>
      <c r="Q128" s="29"/>
      <c r="R128" s="25"/>
    </row>
    <row r="129" spans="1:18" ht="15.75" thickBot="1" x14ac:dyDescent="0.3">
      <c r="A129" s="4"/>
      <c r="B129" s="4"/>
      <c r="C129" s="4"/>
      <c r="D129" s="4"/>
      <c r="E129" s="4" t="s">
        <v>133</v>
      </c>
      <c r="F129" s="4"/>
      <c r="G129" s="45">
        <v>9.99</v>
      </c>
      <c r="H129" s="20"/>
      <c r="I129" s="19">
        <v>35</v>
      </c>
      <c r="J129" s="19">
        <v>35</v>
      </c>
      <c r="K129" s="19"/>
      <c r="L129" s="29"/>
      <c r="M129" s="29"/>
      <c r="N129" s="29"/>
      <c r="O129" s="29"/>
      <c r="P129" s="29"/>
      <c r="Q129" s="29"/>
      <c r="R129" s="25"/>
    </row>
    <row r="130" spans="1:18" x14ac:dyDescent="0.25">
      <c r="A130" s="4"/>
      <c r="B130" s="4"/>
      <c r="C130" s="4"/>
      <c r="D130" s="4" t="s">
        <v>123</v>
      </c>
      <c r="E130" s="4"/>
      <c r="F130" s="4"/>
      <c r="G130" s="16"/>
      <c r="H130" s="16"/>
      <c r="I130" s="16"/>
      <c r="J130" s="16"/>
      <c r="K130" s="16"/>
      <c r="L130" s="29"/>
      <c r="M130" s="29"/>
      <c r="N130" s="29"/>
      <c r="O130" s="29"/>
      <c r="P130" s="29"/>
      <c r="Q130" s="29"/>
      <c r="R130" s="25"/>
    </row>
    <row r="131" spans="1:18" x14ac:dyDescent="0.25">
      <c r="A131" s="4"/>
      <c r="B131" s="4"/>
      <c r="C131" s="4"/>
      <c r="D131" s="4" t="s">
        <v>237</v>
      </c>
      <c r="E131" s="4"/>
      <c r="F131" s="4"/>
      <c r="G131" s="16"/>
      <c r="H131" s="16"/>
      <c r="I131" s="16"/>
      <c r="J131" s="16"/>
      <c r="K131" s="16"/>
      <c r="L131" s="29"/>
      <c r="M131" s="29"/>
      <c r="N131" s="29"/>
      <c r="O131" s="29"/>
      <c r="P131" s="29"/>
      <c r="Q131" s="29"/>
      <c r="R131" s="25"/>
    </row>
    <row r="132" spans="1:18" hidden="1" x14ac:dyDescent="0.25">
      <c r="A132" s="4"/>
      <c r="B132" s="4"/>
      <c r="C132" s="4"/>
      <c r="D132" s="4"/>
      <c r="E132" s="4" t="s">
        <v>85</v>
      </c>
      <c r="F132" s="4"/>
      <c r="G132" s="16"/>
      <c r="H132" s="16">
        <v>961</v>
      </c>
      <c r="I132" s="16"/>
      <c r="J132" s="16"/>
      <c r="K132" s="16"/>
      <c r="L132" s="29"/>
      <c r="M132" s="29"/>
      <c r="N132" s="29"/>
      <c r="O132" s="29"/>
      <c r="P132" s="29"/>
      <c r="Q132" s="29"/>
      <c r="R132" s="25"/>
    </row>
    <row r="133" spans="1:18" hidden="1" x14ac:dyDescent="0.25">
      <c r="A133" s="4"/>
      <c r="B133" s="4"/>
      <c r="C133" s="4"/>
      <c r="D133" s="4"/>
      <c r="E133" s="4" t="s">
        <v>86</v>
      </c>
      <c r="F133" s="4"/>
      <c r="G133" s="16"/>
      <c r="H133" s="16">
        <v>1.9</v>
      </c>
      <c r="I133" s="16"/>
      <c r="J133" s="16"/>
      <c r="K133" s="16"/>
      <c r="L133" s="29"/>
      <c r="M133" s="29"/>
      <c r="N133" s="29"/>
      <c r="O133" s="29"/>
      <c r="P133" s="29"/>
      <c r="Q133" s="29"/>
      <c r="R133" s="25"/>
    </row>
    <row r="134" spans="1:18" hidden="1" x14ac:dyDescent="0.25">
      <c r="A134" s="4"/>
      <c r="B134" s="4"/>
      <c r="C134" s="4"/>
      <c r="D134" s="4"/>
      <c r="E134" s="4" t="s">
        <v>87</v>
      </c>
      <c r="F134" s="4"/>
      <c r="G134" s="16"/>
      <c r="H134" s="16">
        <v>200</v>
      </c>
      <c r="I134" s="16"/>
      <c r="J134" s="16"/>
      <c r="K134" s="16"/>
      <c r="L134" s="29"/>
      <c r="M134" s="29"/>
      <c r="N134" s="29"/>
      <c r="O134" s="29"/>
      <c r="P134" s="29"/>
      <c r="Q134" s="29"/>
      <c r="R134" s="25"/>
    </row>
    <row r="135" spans="1:18" hidden="1" x14ac:dyDescent="0.25">
      <c r="A135" s="4"/>
      <c r="B135" s="4"/>
      <c r="C135" s="4"/>
      <c r="D135" s="4"/>
      <c r="E135" s="4" t="s">
        <v>88</v>
      </c>
      <c r="F135" s="4"/>
      <c r="G135" s="16"/>
      <c r="H135" s="16">
        <v>234</v>
      </c>
      <c r="I135" s="16"/>
      <c r="J135" s="16"/>
      <c r="K135" s="16"/>
      <c r="L135" s="29"/>
      <c r="M135" s="29"/>
      <c r="N135" s="29"/>
      <c r="O135" s="29"/>
      <c r="P135" s="29"/>
      <c r="Q135" s="29"/>
      <c r="R135" s="25"/>
    </row>
    <row r="136" spans="1:18" hidden="1" x14ac:dyDescent="0.25">
      <c r="A136" s="4"/>
      <c r="B136" s="4"/>
      <c r="C136" s="4"/>
      <c r="D136" s="4"/>
      <c r="E136" s="4" t="s">
        <v>89</v>
      </c>
      <c r="F136" s="4"/>
      <c r="G136" s="16"/>
      <c r="H136" s="16">
        <v>45612.08</v>
      </c>
      <c r="I136" s="16"/>
      <c r="J136" s="16"/>
      <c r="K136" s="16"/>
      <c r="L136" s="29"/>
      <c r="M136" s="29"/>
      <c r="N136" s="29"/>
      <c r="O136" s="29"/>
      <c r="P136" s="29"/>
      <c r="Q136" s="29"/>
      <c r="R136" s="25"/>
    </row>
    <row r="137" spans="1:18" hidden="1" x14ac:dyDescent="0.25">
      <c r="A137" s="4"/>
      <c r="B137" s="4"/>
      <c r="C137" s="4"/>
      <c r="D137" s="4"/>
      <c r="E137" s="4" t="s">
        <v>90</v>
      </c>
      <c r="F137" s="4"/>
      <c r="G137" s="16"/>
      <c r="H137" s="16">
        <v>83.7</v>
      </c>
      <c r="I137" s="16"/>
      <c r="J137" s="16"/>
      <c r="K137" s="16"/>
      <c r="L137" s="29"/>
      <c r="M137" s="29"/>
      <c r="N137" s="29"/>
      <c r="O137" s="29"/>
      <c r="P137" s="29"/>
      <c r="Q137" s="29"/>
      <c r="R137" s="25"/>
    </row>
    <row r="138" spans="1:18" hidden="1" x14ac:dyDescent="0.25">
      <c r="A138" s="4"/>
      <c r="B138" s="4"/>
      <c r="C138" s="4"/>
      <c r="D138" s="4"/>
      <c r="E138" s="4" t="s">
        <v>91</v>
      </c>
      <c r="F138" s="4"/>
      <c r="G138" s="16"/>
      <c r="H138" s="16">
        <v>52.2</v>
      </c>
      <c r="I138" s="16"/>
      <c r="J138" s="16"/>
      <c r="K138" s="16"/>
      <c r="L138" s="29"/>
      <c r="M138" s="29"/>
      <c r="N138" s="29"/>
      <c r="O138" s="29"/>
      <c r="P138" s="29"/>
      <c r="Q138" s="29"/>
      <c r="R138" s="25"/>
    </row>
    <row r="139" spans="1:18" hidden="1" x14ac:dyDescent="0.25">
      <c r="A139" s="4"/>
      <c r="B139" s="4"/>
      <c r="C139" s="4"/>
      <c r="D139" s="4"/>
      <c r="E139" s="4" t="s">
        <v>92</v>
      </c>
      <c r="F139" s="4"/>
      <c r="G139" s="16"/>
      <c r="H139" s="16">
        <v>26.1</v>
      </c>
      <c r="I139" s="16"/>
      <c r="J139" s="16"/>
      <c r="K139" s="16"/>
      <c r="L139" s="29"/>
      <c r="M139" s="29"/>
      <c r="N139" s="29"/>
      <c r="O139" s="29"/>
      <c r="P139" s="29"/>
      <c r="Q139" s="29"/>
      <c r="R139" s="25"/>
    </row>
    <row r="140" spans="1:18" hidden="1" x14ac:dyDescent="0.25">
      <c r="A140" s="4"/>
      <c r="B140" s="4"/>
      <c r="C140" s="4"/>
      <c r="D140" s="4"/>
      <c r="E140" s="4" t="s">
        <v>93</v>
      </c>
      <c r="F140" s="4"/>
      <c r="G140" s="16"/>
      <c r="H140" s="16">
        <v>19</v>
      </c>
      <c r="I140" s="16"/>
      <c r="J140" s="16"/>
      <c r="K140" s="16"/>
      <c r="L140" s="29"/>
      <c r="M140" s="29"/>
      <c r="N140" s="29"/>
      <c r="O140" s="29"/>
      <c r="P140" s="29"/>
      <c r="Q140" s="29"/>
      <c r="R140" s="25"/>
    </row>
    <row r="141" spans="1:18" hidden="1" x14ac:dyDescent="0.25">
      <c r="A141" s="4"/>
      <c r="B141" s="4"/>
      <c r="C141" s="4"/>
      <c r="D141" s="4"/>
      <c r="E141" s="4" t="s">
        <v>94</v>
      </c>
      <c r="F141" s="4"/>
      <c r="G141" s="16"/>
      <c r="H141" s="16">
        <v>374.67</v>
      </c>
      <c r="I141" s="16"/>
      <c r="J141" s="16"/>
      <c r="K141" s="16"/>
      <c r="L141" s="29"/>
      <c r="M141" s="29"/>
      <c r="N141" s="29"/>
      <c r="O141" s="29"/>
      <c r="P141" s="29"/>
      <c r="Q141" s="29"/>
      <c r="R141" s="25"/>
    </row>
    <row r="142" spans="1:18" hidden="1" x14ac:dyDescent="0.25">
      <c r="A142" s="4"/>
      <c r="B142" s="4"/>
      <c r="C142" s="4"/>
      <c r="D142" s="4"/>
      <c r="E142" s="4" t="s">
        <v>95</v>
      </c>
      <c r="F142" s="4"/>
      <c r="G142" s="16"/>
      <c r="H142" s="16">
        <v>27593.39</v>
      </c>
      <c r="I142" s="16"/>
      <c r="J142" s="16"/>
      <c r="K142" s="16"/>
      <c r="L142" s="29"/>
      <c r="M142" s="29"/>
      <c r="N142" s="29"/>
      <c r="O142" s="29"/>
      <c r="P142" s="29"/>
      <c r="Q142" s="29"/>
      <c r="R142" s="25"/>
    </row>
    <row r="143" spans="1:18" hidden="1" x14ac:dyDescent="0.25">
      <c r="A143" s="4"/>
      <c r="B143" s="4"/>
      <c r="C143" s="4"/>
      <c r="D143" s="4"/>
      <c r="E143" s="4" t="s">
        <v>96</v>
      </c>
      <c r="F143" s="4"/>
      <c r="G143" s="16"/>
      <c r="H143" s="16">
        <v>10142.58</v>
      </c>
      <c r="I143" s="16"/>
      <c r="J143" s="16"/>
      <c r="K143" s="16"/>
      <c r="L143" s="29"/>
      <c r="M143" s="29"/>
      <c r="N143" s="29"/>
      <c r="O143" s="29"/>
      <c r="P143" s="29"/>
      <c r="Q143" s="29"/>
      <c r="R143" s="25"/>
    </row>
    <row r="144" spans="1:18" hidden="1" x14ac:dyDescent="0.25">
      <c r="A144" s="4"/>
      <c r="B144" s="4"/>
      <c r="C144" s="4"/>
      <c r="D144" s="4"/>
      <c r="E144" s="4" t="s">
        <v>97</v>
      </c>
      <c r="F144" s="4"/>
      <c r="G144" s="16"/>
      <c r="H144" s="16">
        <v>3.05</v>
      </c>
      <c r="I144" s="16"/>
      <c r="J144" s="16"/>
      <c r="K144" s="16"/>
      <c r="L144" s="29"/>
      <c r="M144" s="29"/>
      <c r="N144" s="29"/>
      <c r="O144" s="29"/>
      <c r="P144" s="29"/>
      <c r="Q144" s="29"/>
      <c r="R144" s="25"/>
    </row>
    <row r="145" spans="1:18" hidden="1" x14ac:dyDescent="0.25">
      <c r="A145" s="4"/>
      <c r="B145" s="4"/>
      <c r="C145" s="4"/>
      <c r="D145" s="4"/>
      <c r="E145" s="4" t="s">
        <v>98</v>
      </c>
      <c r="F145" s="4"/>
      <c r="G145" s="17"/>
      <c r="H145" s="17"/>
      <c r="I145" s="16"/>
      <c r="J145" s="16"/>
      <c r="K145" s="16"/>
      <c r="L145" s="29"/>
      <c r="M145" s="29"/>
      <c r="N145" s="29"/>
      <c r="O145" s="29"/>
      <c r="P145" s="29"/>
      <c r="Q145" s="29"/>
      <c r="R145" s="25"/>
    </row>
    <row r="146" spans="1:18" hidden="1" x14ac:dyDescent="0.25">
      <c r="A146" s="4"/>
      <c r="B146" s="4"/>
      <c r="C146" s="4"/>
      <c r="D146" s="4"/>
      <c r="E146" s="4" t="s">
        <v>99</v>
      </c>
      <c r="F146" s="4"/>
      <c r="G146" s="17"/>
      <c r="H146" s="17"/>
      <c r="I146" s="16"/>
      <c r="J146" s="16"/>
      <c r="K146" s="16"/>
      <c r="L146" s="29"/>
      <c r="M146" s="29"/>
      <c r="N146" s="29"/>
      <c r="O146" s="29"/>
      <c r="P146" s="29"/>
      <c r="Q146" s="29"/>
      <c r="R146" s="25"/>
    </row>
    <row r="147" spans="1:18" hidden="1" x14ac:dyDescent="0.25">
      <c r="A147" s="4"/>
      <c r="B147" s="4"/>
      <c r="C147" s="4"/>
      <c r="D147" s="4"/>
      <c r="E147" s="4" t="s">
        <v>100</v>
      </c>
      <c r="F147" s="4"/>
      <c r="G147" s="16"/>
      <c r="H147" s="16">
        <v>10699.91</v>
      </c>
      <c r="I147" s="16"/>
      <c r="J147" s="16"/>
      <c r="K147" s="16"/>
      <c r="L147" s="29"/>
      <c r="M147" s="29"/>
      <c r="N147" s="29"/>
      <c r="O147" s="29"/>
      <c r="P147" s="29"/>
      <c r="Q147" s="29"/>
      <c r="R147" s="25"/>
    </row>
    <row r="148" spans="1:18" hidden="1" x14ac:dyDescent="0.25">
      <c r="A148" s="4"/>
      <c r="B148" s="4"/>
      <c r="C148" s="4"/>
      <c r="D148" s="4"/>
      <c r="E148" s="4" t="s">
        <v>101</v>
      </c>
      <c r="F148" s="4"/>
      <c r="G148" s="17"/>
      <c r="H148" s="17"/>
      <c r="I148" s="16"/>
      <c r="J148" s="16"/>
      <c r="K148" s="16"/>
      <c r="L148" s="29"/>
      <c r="M148" s="29"/>
      <c r="N148" s="29"/>
      <c r="O148" s="29"/>
      <c r="P148" s="29"/>
      <c r="Q148" s="29"/>
      <c r="R148" s="25"/>
    </row>
    <row r="149" spans="1:18" hidden="1" x14ac:dyDescent="0.25">
      <c r="A149" s="4"/>
      <c r="B149" s="4"/>
      <c r="C149" s="4"/>
      <c r="D149" s="4"/>
      <c r="E149" s="4" t="s">
        <v>102</v>
      </c>
      <c r="F149" s="4"/>
      <c r="G149" s="16"/>
      <c r="H149" s="16">
        <v>1082</v>
      </c>
      <c r="I149" s="16"/>
      <c r="J149" s="16"/>
      <c r="K149" s="16"/>
      <c r="L149" s="29"/>
      <c r="M149" s="29"/>
      <c r="N149" s="29"/>
      <c r="O149" s="29"/>
      <c r="P149" s="29"/>
      <c r="Q149" s="29"/>
      <c r="R149" s="25"/>
    </row>
    <row r="150" spans="1:18" ht="15.75" hidden="1" thickBot="1" x14ac:dyDescent="0.3">
      <c r="A150" s="4"/>
      <c r="B150" s="4"/>
      <c r="C150" s="4"/>
      <c r="D150" s="4"/>
      <c r="E150" s="4" t="s">
        <v>103</v>
      </c>
      <c r="F150" s="4"/>
      <c r="G150" s="18"/>
      <c r="H150" s="19">
        <v>120</v>
      </c>
      <c r="I150" s="16"/>
      <c r="J150" s="16"/>
      <c r="K150" s="16"/>
      <c r="L150" s="29"/>
      <c r="M150" s="29"/>
      <c r="N150" s="29"/>
      <c r="O150" s="29"/>
      <c r="P150" s="29"/>
      <c r="Q150" s="29"/>
      <c r="R150" s="25"/>
    </row>
    <row r="151" spans="1:18" x14ac:dyDescent="0.25">
      <c r="A151" s="4"/>
      <c r="B151" s="4"/>
      <c r="C151" s="4"/>
      <c r="D151" s="4" t="s">
        <v>238</v>
      </c>
      <c r="E151" s="4"/>
      <c r="F151" s="4"/>
      <c r="G151" s="16">
        <v>132834.82999999999</v>
      </c>
      <c r="H151" s="16">
        <f>ROUND(SUM(H131:H150),5)</f>
        <v>97205.58</v>
      </c>
      <c r="I151" s="16">
        <v>155141.49</v>
      </c>
      <c r="J151" s="16">
        <f>+I151/7*12</f>
        <v>265956.83999999997</v>
      </c>
      <c r="K151" s="16">
        <v>250000</v>
      </c>
      <c r="L151" s="29"/>
      <c r="M151" s="29"/>
      <c r="N151" s="29"/>
      <c r="O151" s="29"/>
      <c r="P151" s="29"/>
      <c r="Q151" s="29"/>
      <c r="R151" s="25"/>
    </row>
    <row r="152" spans="1:18" x14ac:dyDescent="0.25">
      <c r="A152" s="4"/>
      <c r="B152" s="4"/>
      <c r="C152" s="4"/>
      <c r="D152" s="4" t="s">
        <v>104</v>
      </c>
      <c r="E152" s="4"/>
      <c r="F152" s="4"/>
      <c r="G152" s="16"/>
      <c r="H152" s="16"/>
      <c r="K152" s="16"/>
      <c r="L152" s="29"/>
      <c r="M152" s="29"/>
      <c r="N152" s="29"/>
      <c r="O152" s="29"/>
      <c r="P152" s="29"/>
      <c r="Q152" s="29"/>
      <c r="R152" s="25"/>
    </row>
    <row r="153" spans="1:18" hidden="1" x14ac:dyDescent="0.25">
      <c r="A153" s="4"/>
      <c r="B153" s="4"/>
      <c r="C153" s="4"/>
      <c r="D153" s="4"/>
      <c r="E153" s="4" t="s">
        <v>105</v>
      </c>
      <c r="F153" s="4"/>
      <c r="G153" s="16"/>
      <c r="H153" s="16">
        <v>186</v>
      </c>
      <c r="I153" s="16"/>
      <c r="J153" s="16"/>
      <c r="K153" s="16"/>
      <c r="L153" s="29"/>
      <c r="M153" s="29"/>
      <c r="N153" s="29"/>
      <c r="O153" s="29"/>
      <c r="P153" s="29"/>
      <c r="Q153" s="29"/>
      <c r="R153" s="25"/>
    </row>
    <row r="154" spans="1:18" hidden="1" x14ac:dyDescent="0.25">
      <c r="A154" s="4"/>
      <c r="B154" s="4"/>
      <c r="C154" s="4"/>
      <c r="D154" s="4"/>
      <c r="E154" s="4"/>
      <c r="F154" s="4"/>
      <c r="G154" s="16"/>
      <c r="H154" s="16">
        <v>250</v>
      </c>
      <c r="I154" s="16"/>
      <c r="J154" s="16"/>
      <c r="K154" s="16"/>
      <c r="L154" s="29"/>
      <c r="M154" s="29"/>
      <c r="N154" s="29"/>
      <c r="O154" s="29"/>
      <c r="P154" s="29"/>
      <c r="Q154" s="29"/>
      <c r="R154" s="25"/>
    </row>
    <row r="155" spans="1:18" hidden="1" x14ac:dyDescent="0.25">
      <c r="A155" s="4"/>
      <c r="B155" s="4"/>
      <c r="C155" s="4"/>
      <c r="D155" s="4"/>
      <c r="E155" s="4" t="s">
        <v>106</v>
      </c>
      <c r="F155" s="4"/>
      <c r="G155" s="17"/>
      <c r="H155" s="17"/>
      <c r="I155" s="16"/>
      <c r="J155" s="16"/>
      <c r="K155" s="16"/>
      <c r="L155" s="29"/>
      <c r="M155" s="29"/>
      <c r="N155" s="29"/>
      <c r="O155" s="29"/>
      <c r="P155" s="29"/>
      <c r="Q155" s="29"/>
      <c r="R155" s="25"/>
    </row>
    <row r="156" spans="1:18" hidden="1" x14ac:dyDescent="0.25">
      <c r="A156" s="4"/>
      <c r="B156" s="4"/>
      <c r="C156" s="4"/>
      <c r="D156" s="4"/>
      <c r="E156" s="4" t="s">
        <v>107</v>
      </c>
      <c r="F156" s="4"/>
      <c r="G156" s="17"/>
      <c r="H156" s="17"/>
      <c r="I156" s="16"/>
      <c r="J156" s="16"/>
      <c r="K156" s="16"/>
      <c r="L156" s="29"/>
      <c r="M156" s="29"/>
      <c r="N156" s="29"/>
      <c r="O156" s="29"/>
      <c r="P156" s="29"/>
      <c r="Q156" s="29"/>
      <c r="R156" s="25"/>
    </row>
    <row r="157" spans="1:18" hidden="1" x14ac:dyDescent="0.25">
      <c r="A157" s="4"/>
      <c r="B157" s="4"/>
      <c r="C157" s="4"/>
      <c r="D157" s="4"/>
      <c r="E157" s="4" t="s">
        <v>108</v>
      </c>
      <c r="F157" s="4"/>
      <c r="G157" s="16"/>
      <c r="H157" s="16">
        <v>36</v>
      </c>
      <c r="I157" s="16"/>
      <c r="J157" s="16"/>
      <c r="K157" s="16"/>
      <c r="L157" s="29"/>
      <c r="M157" s="29"/>
      <c r="N157" s="29"/>
      <c r="O157" s="29"/>
      <c r="P157" s="29"/>
      <c r="Q157" s="29"/>
      <c r="R157" s="25"/>
    </row>
    <row r="158" spans="1:18" hidden="1" x14ac:dyDescent="0.25">
      <c r="A158" s="4"/>
      <c r="B158" s="4"/>
      <c r="C158" s="4"/>
      <c r="D158" s="4"/>
      <c r="E158" s="4" t="s">
        <v>109</v>
      </c>
      <c r="F158" s="4"/>
      <c r="G158" s="16"/>
      <c r="H158" s="16">
        <v>17008.830000000002</v>
      </c>
      <c r="I158" s="16"/>
      <c r="J158" s="16"/>
      <c r="K158" s="16"/>
      <c r="L158" s="29"/>
      <c r="M158" s="29"/>
      <c r="N158" s="29"/>
      <c r="O158" s="29"/>
      <c r="P158" s="29"/>
      <c r="Q158" s="29"/>
      <c r="R158" s="25"/>
    </row>
    <row r="159" spans="1:18" hidden="1" x14ac:dyDescent="0.25">
      <c r="A159" s="4"/>
      <c r="B159" s="4"/>
      <c r="C159" s="4"/>
      <c r="D159" s="4"/>
      <c r="E159" s="4" t="s">
        <v>110</v>
      </c>
      <c r="F159" s="4"/>
      <c r="G159" s="16"/>
      <c r="H159" s="16">
        <v>10.8</v>
      </c>
      <c r="I159" s="16"/>
      <c r="J159" s="16"/>
      <c r="K159" s="16"/>
      <c r="L159" s="29"/>
      <c r="M159" s="29"/>
      <c r="N159" s="29"/>
      <c r="O159" s="29"/>
      <c r="P159" s="29"/>
      <c r="Q159" s="29"/>
      <c r="R159" s="25"/>
    </row>
    <row r="160" spans="1:18" hidden="1" x14ac:dyDescent="0.25">
      <c r="A160" s="4"/>
      <c r="B160" s="4"/>
      <c r="C160" s="4"/>
      <c r="D160" s="4"/>
      <c r="E160" s="4" t="s">
        <v>111</v>
      </c>
      <c r="F160" s="4"/>
      <c r="G160" s="16"/>
      <c r="H160" s="16">
        <v>10.8</v>
      </c>
      <c r="I160" s="16"/>
      <c r="J160" s="16"/>
      <c r="K160" s="16"/>
      <c r="L160" s="29"/>
      <c r="M160" s="29"/>
      <c r="N160" s="29"/>
      <c r="O160" s="29"/>
      <c r="P160" s="29"/>
      <c r="Q160" s="29"/>
      <c r="R160" s="25"/>
    </row>
    <row r="161" spans="1:18" hidden="1" x14ac:dyDescent="0.25">
      <c r="A161" s="4"/>
      <c r="B161" s="4"/>
      <c r="C161" s="4"/>
      <c r="D161" s="4"/>
      <c r="E161" s="4" t="s">
        <v>112</v>
      </c>
      <c r="F161" s="4"/>
      <c r="G161" s="16"/>
      <c r="H161" s="16">
        <v>5.4</v>
      </c>
      <c r="I161" s="16"/>
      <c r="J161" s="16"/>
      <c r="K161" s="16"/>
      <c r="L161" s="29"/>
      <c r="M161" s="29"/>
      <c r="N161" s="29"/>
      <c r="O161" s="29"/>
      <c r="P161" s="29"/>
      <c r="Q161" s="29"/>
      <c r="R161" s="25"/>
    </row>
    <row r="162" spans="1:18" hidden="1" x14ac:dyDescent="0.25">
      <c r="A162" s="4"/>
      <c r="B162" s="4"/>
      <c r="C162" s="4"/>
      <c r="D162" s="4"/>
      <c r="E162" s="4" t="s">
        <v>113</v>
      </c>
      <c r="F162" s="4"/>
      <c r="G162" s="16"/>
      <c r="H162" s="16">
        <v>6</v>
      </c>
      <c r="I162" s="16"/>
      <c r="J162" s="16"/>
      <c r="K162" s="16"/>
      <c r="L162" s="29"/>
      <c r="M162" s="29"/>
      <c r="N162" s="29"/>
      <c r="O162" s="29"/>
      <c r="P162" s="29"/>
      <c r="Q162" s="29"/>
      <c r="R162" s="25"/>
    </row>
    <row r="163" spans="1:18" hidden="1" x14ac:dyDescent="0.25">
      <c r="A163" s="4"/>
      <c r="B163" s="4"/>
      <c r="C163" s="4"/>
      <c r="D163" s="4"/>
      <c r="E163" s="4" t="s">
        <v>114</v>
      </c>
      <c r="F163" s="4"/>
      <c r="G163" s="16"/>
      <c r="H163" s="16">
        <v>28.5</v>
      </c>
      <c r="I163" s="16"/>
      <c r="J163" s="16"/>
      <c r="K163" s="16"/>
      <c r="L163" s="29"/>
      <c r="M163" s="29"/>
      <c r="N163" s="29"/>
      <c r="O163" s="29"/>
      <c r="P163" s="29"/>
      <c r="Q163" s="29"/>
      <c r="R163" s="25"/>
    </row>
    <row r="164" spans="1:18" hidden="1" x14ac:dyDescent="0.25">
      <c r="A164" s="4"/>
      <c r="B164" s="4"/>
      <c r="C164" s="4"/>
      <c r="D164" s="4"/>
      <c r="E164" s="4" t="s">
        <v>115</v>
      </c>
      <c r="F164" s="4"/>
      <c r="G164" s="16"/>
      <c r="H164" s="16">
        <v>14341.06</v>
      </c>
      <c r="I164" s="16"/>
      <c r="J164" s="16"/>
      <c r="K164" s="16"/>
      <c r="L164" s="29"/>
      <c r="M164" s="29"/>
      <c r="N164" s="29"/>
      <c r="O164" s="29"/>
      <c r="P164" s="29"/>
      <c r="Q164" s="29"/>
      <c r="R164" s="25"/>
    </row>
    <row r="165" spans="1:18" hidden="1" x14ac:dyDescent="0.25">
      <c r="A165" s="4"/>
      <c r="B165" s="4"/>
      <c r="C165" s="4"/>
      <c r="D165" s="4"/>
      <c r="E165" s="4" t="s">
        <v>116</v>
      </c>
      <c r="F165" s="4"/>
      <c r="G165" s="16"/>
      <c r="H165" s="16">
        <v>20</v>
      </c>
      <c r="I165" s="16"/>
      <c r="J165" s="16"/>
      <c r="K165" s="16"/>
      <c r="L165" s="29"/>
      <c r="M165" s="29"/>
      <c r="N165" s="29"/>
      <c r="O165" s="29"/>
      <c r="P165" s="29"/>
      <c r="Q165" s="29"/>
      <c r="R165" s="25"/>
    </row>
    <row r="166" spans="1:18" hidden="1" x14ac:dyDescent="0.25">
      <c r="A166" s="4"/>
      <c r="B166" s="4"/>
      <c r="C166" s="4"/>
      <c r="D166" s="4"/>
      <c r="E166" s="4" t="s">
        <v>117</v>
      </c>
      <c r="F166" s="4"/>
      <c r="G166" s="16"/>
      <c r="H166" s="16">
        <v>0.27</v>
      </c>
      <c r="I166" s="16"/>
      <c r="J166" s="16"/>
      <c r="K166" s="16"/>
      <c r="L166" s="29"/>
      <c r="M166" s="29"/>
      <c r="N166" s="29"/>
      <c r="O166" s="29"/>
      <c r="P166" s="29"/>
      <c r="Q166" s="29"/>
      <c r="R166" s="25"/>
    </row>
    <row r="167" spans="1:18" ht="15.75" hidden="1" thickBot="1" x14ac:dyDescent="0.3">
      <c r="A167" s="4"/>
      <c r="B167" s="4"/>
      <c r="C167" s="4"/>
      <c r="D167" s="4"/>
      <c r="E167" s="4" t="s">
        <v>118</v>
      </c>
      <c r="F167" s="4"/>
      <c r="G167" s="18"/>
      <c r="H167" s="19">
        <v>25840.29</v>
      </c>
      <c r="I167" s="16"/>
      <c r="J167" s="16"/>
      <c r="K167" s="16"/>
      <c r="L167" s="29"/>
      <c r="M167" s="29"/>
      <c r="N167" s="29"/>
      <c r="O167" s="29"/>
      <c r="P167" s="29"/>
      <c r="Q167" s="29"/>
      <c r="R167" s="25"/>
    </row>
    <row r="168" spans="1:18" x14ac:dyDescent="0.25">
      <c r="A168" s="4"/>
      <c r="B168" s="4"/>
      <c r="C168" s="4"/>
      <c r="D168" s="4" t="s">
        <v>119</v>
      </c>
      <c r="E168" s="4"/>
      <c r="F168" s="4"/>
      <c r="G168" s="16">
        <v>96126.55</v>
      </c>
      <c r="H168" s="16">
        <f>ROUND(SUM(H152:H167),5)</f>
        <v>57743.95</v>
      </c>
      <c r="I168" s="16">
        <v>69966.960000000006</v>
      </c>
      <c r="J168" s="16">
        <f>+I168/7*12</f>
        <v>119943.36000000002</v>
      </c>
      <c r="K168" s="16">
        <v>100000</v>
      </c>
      <c r="L168" s="29"/>
      <c r="M168" s="29"/>
      <c r="N168" s="29"/>
      <c r="O168" s="29"/>
      <c r="P168" s="29"/>
      <c r="Q168" s="29"/>
      <c r="R168" s="25"/>
    </row>
    <row r="169" spans="1:18" x14ac:dyDescent="0.25">
      <c r="A169" s="4"/>
      <c r="B169" s="4"/>
      <c r="C169" s="4"/>
      <c r="D169" s="4"/>
      <c r="E169" s="4" t="s">
        <v>181</v>
      </c>
      <c r="F169" s="4"/>
      <c r="G169" s="16">
        <v>4000</v>
      </c>
      <c r="H169" s="16">
        <v>1800</v>
      </c>
      <c r="I169" s="16">
        <f>450*12</f>
        <v>5400</v>
      </c>
      <c r="J169" s="16">
        <f>450*12</f>
        <v>5400</v>
      </c>
      <c r="K169" s="16">
        <f>450*12</f>
        <v>5400</v>
      </c>
      <c r="L169" s="29"/>
      <c r="M169" s="29"/>
      <c r="N169" s="29"/>
      <c r="O169" s="29"/>
      <c r="P169" s="29"/>
      <c r="Q169" s="29"/>
      <c r="R169" s="25"/>
    </row>
    <row r="170" spans="1:18" x14ac:dyDescent="0.25">
      <c r="A170" s="4"/>
      <c r="B170" s="4"/>
      <c r="C170" s="4"/>
      <c r="D170" s="4"/>
      <c r="E170" s="4" t="s">
        <v>124</v>
      </c>
      <c r="F170" s="4"/>
      <c r="G170" s="16">
        <v>5400</v>
      </c>
      <c r="H170" s="16">
        <v>3150</v>
      </c>
      <c r="I170" s="16">
        <v>5400</v>
      </c>
      <c r="J170" s="16">
        <v>5400</v>
      </c>
      <c r="K170" s="16">
        <v>5400</v>
      </c>
      <c r="L170" s="29"/>
      <c r="M170" s="29"/>
      <c r="N170" s="29"/>
      <c r="O170" s="29"/>
      <c r="P170" s="29"/>
      <c r="Q170" s="29"/>
      <c r="R170" s="25"/>
    </row>
    <row r="171" spans="1:18" x14ac:dyDescent="0.25">
      <c r="A171" s="4"/>
      <c r="B171" s="4"/>
      <c r="C171" s="4"/>
      <c r="D171" s="4"/>
      <c r="E171" s="4" t="s">
        <v>266</v>
      </c>
      <c r="F171" s="4"/>
      <c r="G171" s="16">
        <v>35063.279999999999</v>
      </c>
      <c r="H171" s="16"/>
      <c r="I171" s="16"/>
      <c r="J171" s="16">
        <f>24569.31/8*12</f>
        <v>36853.965000000004</v>
      </c>
      <c r="K171" s="16">
        <f>17.5*40*52</f>
        <v>36400</v>
      </c>
      <c r="L171" s="29"/>
      <c r="M171" s="29"/>
      <c r="N171" s="29"/>
      <c r="O171" s="29"/>
      <c r="P171" s="29"/>
      <c r="Q171" s="29"/>
      <c r="R171" s="25"/>
    </row>
    <row r="172" spans="1:18" x14ac:dyDescent="0.25">
      <c r="A172" s="4"/>
      <c r="B172" s="4"/>
      <c r="C172" s="4"/>
      <c r="D172" s="4"/>
      <c r="E172" s="4" t="s">
        <v>267</v>
      </c>
      <c r="F172" s="4"/>
      <c r="G172" s="16">
        <v>22545.38</v>
      </c>
      <c r="H172" s="16"/>
      <c r="I172" s="16"/>
      <c r="J172" s="16">
        <f>17791.92/8*12</f>
        <v>26687.879999999997</v>
      </c>
      <c r="K172" s="16">
        <f>16*40*52</f>
        <v>33280</v>
      </c>
      <c r="L172" s="29"/>
      <c r="M172" s="29"/>
      <c r="N172" s="29"/>
      <c r="O172" s="29"/>
      <c r="P172" s="29"/>
      <c r="Q172" s="29"/>
      <c r="R172" s="25"/>
    </row>
    <row r="173" spans="1:18" x14ac:dyDescent="0.25">
      <c r="A173" s="4"/>
      <c r="B173" s="4"/>
      <c r="C173" s="4"/>
      <c r="D173" s="4"/>
      <c r="E173" s="4" t="s">
        <v>185</v>
      </c>
      <c r="F173" s="4"/>
      <c r="G173" s="18">
        <v>300</v>
      </c>
      <c r="H173" s="18">
        <v>300</v>
      </c>
      <c r="I173" s="18">
        <v>669.5</v>
      </c>
      <c r="J173" s="18">
        <v>669.5</v>
      </c>
      <c r="K173" s="18">
        <v>600</v>
      </c>
      <c r="L173" s="29"/>
      <c r="M173" s="29"/>
      <c r="N173" s="29"/>
      <c r="O173" s="29"/>
      <c r="P173" s="29"/>
      <c r="Q173" s="29"/>
      <c r="R173" s="25"/>
    </row>
    <row r="174" spans="1:18" x14ac:dyDescent="0.25">
      <c r="A174" s="4"/>
      <c r="B174" s="4"/>
      <c r="C174" s="4"/>
      <c r="D174" s="4" t="s">
        <v>125</v>
      </c>
      <c r="E174" s="4"/>
      <c r="F174" s="4"/>
      <c r="G174" s="16">
        <f>ROUND(SUM(G130:G170),5)</f>
        <v>238361.38</v>
      </c>
      <c r="H174" s="16">
        <f>ROUND(SUM(H130:H173),5)</f>
        <v>315149.06</v>
      </c>
      <c r="I174" s="16">
        <f t="shared" ref="I174" si="3">ROUND(SUM(I130:I173),5)</f>
        <v>236577.95</v>
      </c>
      <c r="J174" s="16">
        <f>ROUND(SUM(J130:J170),5)</f>
        <v>396700.2</v>
      </c>
      <c r="K174" s="16">
        <f>ROUND(SUM(K130:K170),5)</f>
        <v>360800</v>
      </c>
      <c r="L174" s="29"/>
      <c r="M174" s="29"/>
      <c r="N174" s="29"/>
      <c r="O174" s="29"/>
      <c r="P174" s="29"/>
      <c r="Q174" s="29"/>
      <c r="R174" s="25"/>
    </row>
    <row r="175" spans="1:18" ht="15.75" x14ac:dyDescent="0.25">
      <c r="A175" s="4"/>
      <c r="B175" s="4"/>
      <c r="C175" s="4"/>
      <c r="D175" s="4"/>
      <c r="E175" s="4" t="s">
        <v>268</v>
      </c>
      <c r="F175" s="4"/>
      <c r="G175" s="16">
        <f>31524.17+13987.09</f>
        <v>45511.259999999995</v>
      </c>
      <c r="H175" s="16"/>
      <c r="I175" s="16"/>
      <c r="J175" s="51">
        <f>+(18640.91)+(27*40*13)+(25*40*7)</f>
        <v>39680.910000000003</v>
      </c>
      <c r="K175" s="16">
        <v>62400</v>
      </c>
      <c r="L175" s="29"/>
      <c r="M175" s="29"/>
      <c r="N175" s="29"/>
      <c r="O175" s="29"/>
      <c r="P175" s="29"/>
      <c r="Q175" s="29"/>
      <c r="R175" s="25"/>
    </row>
    <row r="176" spans="1:18" ht="15.75" x14ac:dyDescent="0.25">
      <c r="A176" s="4"/>
      <c r="B176" s="4"/>
      <c r="C176" s="4"/>
      <c r="D176" s="4"/>
      <c r="E176" s="4" t="s">
        <v>269</v>
      </c>
      <c r="F176" s="4"/>
      <c r="G176" s="16">
        <v>53064.84</v>
      </c>
      <c r="H176" s="16"/>
      <c r="I176" s="16"/>
      <c r="J176" s="51">
        <f>38077.8/8*12</f>
        <v>57116.700000000004</v>
      </c>
      <c r="K176" s="16">
        <f>23*40*52</f>
        <v>47840</v>
      </c>
      <c r="L176" s="29"/>
      <c r="M176" s="29"/>
      <c r="N176" s="29"/>
      <c r="O176" s="29"/>
      <c r="P176" s="29"/>
      <c r="Q176" s="29"/>
      <c r="R176" s="25"/>
    </row>
    <row r="177" spans="1:18" ht="15.75" x14ac:dyDescent="0.25">
      <c r="A177" s="4"/>
      <c r="B177" s="4"/>
      <c r="C177" s="4"/>
      <c r="D177" s="4"/>
      <c r="E177" s="4" t="s">
        <v>269</v>
      </c>
      <c r="F177" s="4"/>
      <c r="G177" s="16">
        <v>17747.73</v>
      </c>
      <c r="H177" s="16"/>
      <c r="I177" s="16"/>
      <c r="J177" s="51">
        <f>25063.38/8*12</f>
        <v>37595.07</v>
      </c>
      <c r="K177" s="16">
        <f>20*40*52</f>
        <v>41600</v>
      </c>
      <c r="L177" s="29"/>
      <c r="M177" s="29"/>
      <c r="N177" s="29"/>
      <c r="O177" s="29"/>
      <c r="P177" s="29"/>
      <c r="Q177" s="29"/>
      <c r="R177" s="25"/>
    </row>
    <row r="178" spans="1:18" x14ac:dyDescent="0.25">
      <c r="A178" s="4"/>
      <c r="B178" s="4"/>
      <c r="C178" s="4"/>
      <c r="D178" s="4"/>
      <c r="E178" s="4" t="s">
        <v>269</v>
      </c>
      <c r="F178" s="4"/>
      <c r="G178" s="16">
        <v>0</v>
      </c>
      <c r="H178" s="16"/>
      <c r="I178" s="16"/>
      <c r="J178" s="16">
        <v>0</v>
      </c>
      <c r="K178" s="16">
        <v>41600</v>
      </c>
      <c r="L178" s="29"/>
      <c r="M178" s="29"/>
      <c r="N178" s="29"/>
      <c r="O178" s="29"/>
      <c r="P178" s="29"/>
      <c r="Q178" s="29"/>
      <c r="R178" s="25"/>
    </row>
    <row r="179" spans="1:18" ht="15.75" thickBot="1" x14ac:dyDescent="0.3">
      <c r="A179" s="4"/>
      <c r="B179" s="4"/>
      <c r="C179" s="4"/>
      <c r="D179" s="4" t="s">
        <v>164</v>
      </c>
      <c r="E179" s="4"/>
      <c r="F179" s="4"/>
      <c r="G179" s="19">
        <v>191963.71</v>
      </c>
      <c r="H179" s="19">
        <v>110033.36</v>
      </c>
      <c r="I179" s="19">
        <v>124307.26</v>
      </c>
      <c r="J179" s="19">
        <v>197934.53</v>
      </c>
      <c r="K179" s="19">
        <v>263120</v>
      </c>
    </row>
    <row r="180" spans="1:18" x14ac:dyDescent="0.25">
      <c r="A180" s="4"/>
      <c r="B180" s="4"/>
      <c r="C180" s="4"/>
      <c r="D180" s="4" t="s">
        <v>134</v>
      </c>
      <c r="E180" s="4"/>
      <c r="F180" s="4"/>
      <c r="G180" s="16">
        <f>ROUND(SUM(G118:G129)+G174+G179,5)</f>
        <v>582217.51</v>
      </c>
      <c r="H180" s="16">
        <f>ROUND(SUM(H118:H128),5)</f>
        <v>105112.84</v>
      </c>
      <c r="I180" s="16">
        <f>ROUND(SUM(I118:I129)+I174+I179,5)</f>
        <v>401080.06</v>
      </c>
      <c r="J180" s="16">
        <f>ROUND(SUM(J118:J129)+J174+J179,5)</f>
        <v>675710.20143000002</v>
      </c>
      <c r="K180" s="16">
        <f>ROUND(SUM(K118:K129)+K174+K179,5)</f>
        <v>690900</v>
      </c>
      <c r="L180" s="29"/>
      <c r="M180" s="29"/>
      <c r="N180" s="29"/>
      <c r="O180" s="29"/>
      <c r="P180" s="29"/>
      <c r="Q180" s="29"/>
      <c r="R180" s="25"/>
    </row>
    <row r="181" spans="1:18" x14ac:dyDescent="0.25">
      <c r="A181" s="4"/>
      <c r="B181" s="4"/>
      <c r="C181" s="4"/>
      <c r="D181" s="4" t="s">
        <v>135</v>
      </c>
      <c r="E181" s="4"/>
      <c r="F181" s="4"/>
      <c r="G181" s="16">
        <f t="shared" ref="G181:J224" si="4">+F181/7*12</f>
        <v>0</v>
      </c>
      <c r="H181" s="17"/>
      <c r="I181" s="16"/>
      <c r="J181" s="16"/>
      <c r="K181" s="16"/>
      <c r="L181" s="29"/>
      <c r="M181" s="29"/>
      <c r="N181" s="29"/>
      <c r="O181" s="29"/>
      <c r="P181" s="29"/>
      <c r="Q181" s="29"/>
      <c r="R181" s="25"/>
    </row>
    <row r="182" spans="1:18" x14ac:dyDescent="0.25">
      <c r="A182" s="4"/>
      <c r="B182" s="4"/>
      <c r="C182" s="4"/>
      <c r="D182" s="4" t="s">
        <v>44</v>
      </c>
      <c r="E182" s="4"/>
      <c r="F182" s="4"/>
      <c r="G182" s="16">
        <v>350</v>
      </c>
      <c r="H182" s="16">
        <v>350</v>
      </c>
      <c r="I182" s="16">
        <v>102.5</v>
      </c>
      <c r="J182" s="16">
        <v>102.5</v>
      </c>
      <c r="K182" s="16">
        <v>500</v>
      </c>
      <c r="L182" s="29"/>
      <c r="M182" s="29"/>
      <c r="N182" s="29"/>
      <c r="O182" s="29"/>
      <c r="P182" s="29"/>
      <c r="Q182" s="29"/>
      <c r="R182" s="25"/>
    </row>
    <row r="183" spans="1:18" x14ac:dyDescent="0.25">
      <c r="A183" s="4"/>
      <c r="B183" s="4"/>
      <c r="C183" s="4"/>
      <c r="D183" s="4" t="s">
        <v>136</v>
      </c>
      <c r="E183" s="4"/>
      <c r="F183" s="4"/>
      <c r="G183" s="16">
        <f t="shared" si="4"/>
        <v>0</v>
      </c>
      <c r="H183" s="17"/>
      <c r="I183" s="16">
        <v>275</v>
      </c>
      <c r="J183" s="16">
        <v>275</v>
      </c>
      <c r="K183" s="16">
        <v>425</v>
      </c>
      <c r="L183" s="29"/>
      <c r="M183" s="29"/>
      <c r="N183" s="29"/>
      <c r="O183" s="29"/>
      <c r="P183" s="29"/>
      <c r="Q183" s="29"/>
      <c r="R183" s="31"/>
    </row>
    <row r="184" spans="1:18" x14ac:dyDescent="0.25">
      <c r="A184" s="4"/>
      <c r="B184" s="4"/>
      <c r="C184" s="4"/>
      <c r="D184" s="4" t="s">
        <v>137</v>
      </c>
      <c r="E184" s="4"/>
      <c r="F184" s="4"/>
      <c r="G184" s="16">
        <v>6114.43</v>
      </c>
      <c r="H184" s="16">
        <v>60</v>
      </c>
      <c r="I184" s="14"/>
      <c r="J184" s="14"/>
    </row>
    <row r="185" spans="1:18" x14ac:dyDescent="0.25">
      <c r="A185" s="4"/>
      <c r="B185" s="4"/>
      <c r="C185" s="4"/>
      <c r="D185" s="4" t="s">
        <v>138</v>
      </c>
      <c r="E185" s="4"/>
      <c r="F185" s="4"/>
      <c r="G185" s="16">
        <v>4500</v>
      </c>
      <c r="H185" s="17"/>
      <c r="I185" s="14">
        <v>0</v>
      </c>
      <c r="J185" s="14">
        <v>0</v>
      </c>
      <c r="K185" s="14">
        <v>2200</v>
      </c>
    </row>
    <row r="186" spans="1:18" x14ac:dyDescent="0.25">
      <c r="A186" s="4"/>
      <c r="B186" s="4"/>
      <c r="C186" s="4"/>
      <c r="D186" s="4"/>
      <c r="E186" s="4"/>
      <c r="F186" s="4"/>
      <c r="G186" s="16"/>
      <c r="H186" s="17"/>
      <c r="I186" s="14"/>
      <c r="J186" s="14"/>
    </row>
    <row r="187" spans="1:18" x14ac:dyDescent="0.25">
      <c r="A187" s="4"/>
      <c r="B187" s="4"/>
      <c r="C187" s="4"/>
      <c r="D187" s="4"/>
      <c r="E187" s="4"/>
      <c r="F187" s="4"/>
      <c r="G187" s="12">
        <v>2022</v>
      </c>
      <c r="I187" s="12">
        <v>2023</v>
      </c>
      <c r="J187" s="12">
        <v>2023</v>
      </c>
      <c r="K187" s="50">
        <v>2024</v>
      </c>
    </row>
    <row r="188" spans="1:18" x14ac:dyDescent="0.25">
      <c r="A188" s="4"/>
      <c r="B188" s="4"/>
      <c r="C188" s="4"/>
      <c r="D188" s="4"/>
      <c r="E188" s="4"/>
      <c r="F188" s="4"/>
      <c r="G188" s="7" t="s">
        <v>171</v>
      </c>
      <c r="I188" s="7" t="s">
        <v>172</v>
      </c>
      <c r="J188" s="7" t="s">
        <v>172</v>
      </c>
      <c r="K188" s="33" t="s">
        <v>173</v>
      </c>
    </row>
    <row r="189" spans="1:18" x14ac:dyDescent="0.25">
      <c r="A189" s="4"/>
      <c r="B189" s="4"/>
      <c r="C189" s="4"/>
      <c r="D189" s="4"/>
      <c r="E189" s="4"/>
      <c r="F189" s="4"/>
      <c r="G189" s="7"/>
      <c r="I189" s="7"/>
      <c r="J189" s="7"/>
      <c r="K189" s="33"/>
    </row>
    <row r="190" spans="1:18" x14ac:dyDescent="0.25">
      <c r="A190" s="4"/>
      <c r="B190" s="4"/>
      <c r="C190" s="4"/>
      <c r="D190" s="4" t="s">
        <v>139</v>
      </c>
      <c r="E190" s="4"/>
      <c r="F190" s="4"/>
      <c r="G190" s="16">
        <v>562</v>
      </c>
      <c r="H190" s="16"/>
      <c r="I190" s="14"/>
      <c r="J190" s="14"/>
    </row>
    <row r="191" spans="1:18" x14ac:dyDescent="0.25">
      <c r="A191" s="4"/>
      <c r="B191" s="4"/>
      <c r="C191" s="4"/>
      <c r="D191" s="4"/>
      <c r="E191" s="4" t="s">
        <v>183</v>
      </c>
      <c r="F191" s="4"/>
      <c r="G191" s="16">
        <v>41786.81</v>
      </c>
      <c r="H191" s="16">
        <v>9561.64</v>
      </c>
      <c r="I191" s="14">
        <v>34220.339999999997</v>
      </c>
      <c r="J191" s="14">
        <f>+I191/7*12</f>
        <v>58663.44</v>
      </c>
      <c r="K191" s="14">
        <f>+(775*8)*12</f>
        <v>74400</v>
      </c>
    </row>
    <row r="192" spans="1:18" x14ac:dyDescent="0.25">
      <c r="A192" s="4"/>
      <c r="B192" s="4"/>
      <c r="C192" s="4"/>
      <c r="D192" s="4"/>
      <c r="E192" s="4" t="s">
        <v>184</v>
      </c>
      <c r="F192" s="4"/>
      <c r="G192" s="16">
        <v>15470.06</v>
      </c>
      <c r="H192" s="16">
        <f>12880.46+1430</f>
        <v>14310.46</v>
      </c>
      <c r="I192" s="14">
        <f>15470.06</f>
        <v>15470.06</v>
      </c>
      <c r="J192" s="14">
        <f>15470.06</f>
        <v>15470.06</v>
      </c>
      <c r="K192" s="14">
        <v>18000</v>
      </c>
    </row>
    <row r="193" spans="1:11" x14ac:dyDescent="0.25">
      <c r="A193" s="4"/>
      <c r="B193" s="4"/>
      <c r="C193" s="4"/>
      <c r="D193" s="4"/>
      <c r="E193" s="4" t="s">
        <v>140</v>
      </c>
      <c r="F193" s="4"/>
      <c r="G193" s="16">
        <f t="shared" si="4"/>
        <v>0</v>
      </c>
      <c r="H193" s="17"/>
      <c r="I193" s="14">
        <v>225</v>
      </c>
      <c r="J193" s="14">
        <v>225</v>
      </c>
    </row>
    <row r="194" spans="1:11" ht="15.75" thickBot="1" x14ac:dyDescent="0.3">
      <c r="A194" s="4"/>
      <c r="B194" s="4"/>
      <c r="C194" s="4"/>
      <c r="D194" s="4"/>
      <c r="E194" s="4" t="s">
        <v>191</v>
      </c>
      <c r="F194" s="4"/>
      <c r="G194" s="19">
        <f t="shared" si="4"/>
        <v>0</v>
      </c>
      <c r="H194" s="20">
        <v>562</v>
      </c>
      <c r="I194" s="45">
        <v>4901.28</v>
      </c>
      <c r="J194" s="45">
        <v>4901.28</v>
      </c>
      <c r="K194" s="45">
        <v>1500</v>
      </c>
    </row>
    <row r="195" spans="1:11" x14ac:dyDescent="0.25">
      <c r="A195" s="4"/>
      <c r="B195" s="4"/>
      <c r="C195" s="4"/>
      <c r="D195" s="4" t="s">
        <v>141</v>
      </c>
      <c r="E195" s="4"/>
      <c r="F195" s="4"/>
      <c r="G195" s="16">
        <f t="shared" ref="G195" si="5">ROUND(SUM(G190:G194),5)</f>
        <v>57818.87</v>
      </c>
      <c r="H195" s="16">
        <f t="shared" ref="H195:K195" si="6">ROUND(SUM(H190:H194),5)</f>
        <v>24434.1</v>
      </c>
      <c r="I195" s="16">
        <f t="shared" ref="I195:J195" si="7">ROUND(SUM(I190:I194),5)</f>
        <v>54816.68</v>
      </c>
      <c r="J195" s="16">
        <f t="shared" si="7"/>
        <v>79259.78</v>
      </c>
      <c r="K195" s="16">
        <f t="shared" si="6"/>
        <v>93900</v>
      </c>
    </row>
    <row r="196" spans="1:11" x14ac:dyDescent="0.25">
      <c r="A196" s="4"/>
      <c r="B196" s="4"/>
      <c r="C196" s="4"/>
      <c r="D196" s="4" t="s">
        <v>142</v>
      </c>
      <c r="E196" s="4"/>
      <c r="F196" s="4"/>
      <c r="G196" s="16">
        <v>97.39</v>
      </c>
      <c r="H196" s="16">
        <f>177.53+97.39</f>
        <v>274.92</v>
      </c>
      <c r="I196" s="14">
        <f>1484.91+4000</f>
        <v>5484.91</v>
      </c>
      <c r="J196" s="14">
        <f>1484.91+4000</f>
        <v>5484.91</v>
      </c>
      <c r="K196" s="14">
        <v>35500</v>
      </c>
    </row>
    <row r="197" spans="1:11" x14ac:dyDescent="0.25">
      <c r="A197" s="4"/>
      <c r="B197" s="4"/>
      <c r="C197" s="4"/>
      <c r="D197" s="4" t="s">
        <v>143</v>
      </c>
      <c r="E197" s="4"/>
      <c r="F197" s="4"/>
      <c r="G197" s="16">
        <v>294.54000000000002</v>
      </c>
      <c r="H197" s="16">
        <v>294.54000000000002</v>
      </c>
      <c r="I197" s="14">
        <v>1500</v>
      </c>
      <c r="J197" s="14">
        <v>1500</v>
      </c>
      <c r="K197" s="14">
        <v>1500</v>
      </c>
    </row>
    <row r="198" spans="1:11" x14ac:dyDescent="0.25">
      <c r="A198" s="4"/>
      <c r="B198" s="4"/>
      <c r="C198" s="4"/>
      <c r="D198" s="4" t="s">
        <v>144</v>
      </c>
      <c r="E198" s="4"/>
      <c r="F198" s="4"/>
      <c r="G198" s="16">
        <f t="shared" si="4"/>
        <v>0</v>
      </c>
      <c r="H198" s="16"/>
      <c r="I198" s="14"/>
      <c r="J198" s="14"/>
    </row>
    <row r="199" spans="1:11" x14ac:dyDescent="0.25">
      <c r="A199" s="4"/>
      <c r="B199" s="4"/>
      <c r="C199" s="4"/>
      <c r="F199" s="24" t="s">
        <v>255</v>
      </c>
      <c r="G199" s="16">
        <v>26</v>
      </c>
      <c r="H199" s="14">
        <v>356.25</v>
      </c>
      <c r="I199" s="14">
        <v>750</v>
      </c>
      <c r="J199" s="14">
        <v>750</v>
      </c>
      <c r="K199" s="14">
        <v>750</v>
      </c>
    </row>
    <row r="200" spans="1:11" x14ac:dyDescent="0.25">
      <c r="A200" s="4"/>
      <c r="B200" s="4"/>
      <c r="C200" s="4"/>
      <c r="F200" s="24" t="s">
        <v>179</v>
      </c>
      <c r="G200" s="16">
        <v>499.69</v>
      </c>
      <c r="H200" s="14">
        <v>356.25</v>
      </c>
      <c r="I200" s="14">
        <v>286.88</v>
      </c>
      <c r="J200" s="14">
        <f>+I200/7*12</f>
        <v>491.79428571428571</v>
      </c>
      <c r="K200" s="14">
        <v>750</v>
      </c>
    </row>
    <row r="201" spans="1:11" x14ac:dyDescent="0.25">
      <c r="A201" s="4"/>
      <c r="B201" s="4"/>
      <c r="C201" s="4"/>
      <c r="F201" s="24" t="s">
        <v>180</v>
      </c>
      <c r="G201" s="16">
        <v>14750</v>
      </c>
      <c r="H201" s="14">
        <v>14950</v>
      </c>
      <c r="I201" s="14">
        <v>14950</v>
      </c>
      <c r="J201" s="14">
        <v>14950</v>
      </c>
      <c r="K201" s="14">
        <v>14950</v>
      </c>
    </row>
    <row r="202" spans="1:11" x14ac:dyDescent="0.25">
      <c r="A202" s="4"/>
      <c r="B202" s="4"/>
      <c r="C202" s="4"/>
      <c r="D202" s="4" t="s">
        <v>145</v>
      </c>
      <c r="E202" s="4"/>
      <c r="F202" s="4"/>
      <c r="G202" s="16">
        <f t="shared" si="4"/>
        <v>0</v>
      </c>
      <c r="H202" s="16"/>
      <c r="I202" s="14"/>
      <c r="J202" s="14"/>
    </row>
    <row r="203" spans="1:11" x14ac:dyDescent="0.25">
      <c r="A203" s="4"/>
      <c r="B203" s="4"/>
      <c r="C203" s="4"/>
      <c r="D203" s="4"/>
      <c r="E203" s="4" t="s">
        <v>146</v>
      </c>
      <c r="F203" s="4"/>
      <c r="G203" s="16">
        <v>500</v>
      </c>
      <c r="H203" s="17">
        <v>500</v>
      </c>
      <c r="I203" s="14">
        <v>381.06</v>
      </c>
      <c r="J203" s="14">
        <v>381.06</v>
      </c>
      <c r="K203" s="14">
        <v>600</v>
      </c>
    </row>
    <row r="204" spans="1:11" x14ac:dyDescent="0.25">
      <c r="A204" s="4"/>
      <c r="B204" s="4"/>
      <c r="C204" s="4"/>
      <c r="D204" s="4"/>
      <c r="E204" s="4" t="s">
        <v>147</v>
      </c>
      <c r="F204" s="4"/>
      <c r="G204" s="16">
        <v>0</v>
      </c>
      <c r="H204" s="16">
        <v>0</v>
      </c>
      <c r="I204" s="14">
        <v>0</v>
      </c>
      <c r="J204" s="14">
        <v>0</v>
      </c>
      <c r="K204" s="14">
        <v>2000</v>
      </c>
    </row>
    <row r="205" spans="1:11" x14ac:dyDescent="0.25">
      <c r="A205" s="4"/>
      <c r="B205" s="4"/>
      <c r="C205" s="4"/>
      <c r="D205" s="4"/>
      <c r="E205" s="4" t="s">
        <v>39</v>
      </c>
      <c r="F205" s="4"/>
      <c r="G205" s="16">
        <v>250</v>
      </c>
      <c r="H205" s="16">
        <v>250</v>
      </c>
      <c r="I205" s="14">
        <v>0</v>
      </c>
      <c r="J205" s="14">
        <v>0</v>
      </c>
      <c r="K205" s="14">
        <v>2500</v>
      </c>
    </row>
    <row r="206" spans="1:11" x14ac:dyDescent="0.25">
      <c r="A206" s="4"/>
      <c r="B206" s="4"/>
      <c r="C206" s="4"/>
      <c r="D206" s="4"/>
      <c r="E206" s="4" t="s">
        <v>129</v>
      </c>
      <c r="F206" s="4"/>
      <c r="G206" s="16"/>
      <c r="H206" s="16"/>
      <c r="I206" s="14">
        <v>0</v>
      </c>
      <c r="J206" s="14">
        <v>0</v>
      </c>
      <c r="K206" s="14">
        <v>200</v>
      </c>
    </row>
    <row r="207" spans="1:11" x14ac:dyDescent="0.25">
      <c r="A207" s="4"/>
      <c r="B207" s="4"/>
      <c r="C207" s="4"/>
      <c r="D207" s="4"/>
      <c r="E207" s="4" t="s">
        <v>192</v>
      </c>
      <c r="F207" s="4"/>
      <c r="G207" s="16"/>
      <c r="H207" s="16"/>
      <c r="I207" s="14">
        <v>0</v>
      </c>
      <c r="J207" s="14">
        <v>0</v>
      </c>
      <c r="K207" s="14">
        <v>500</v>
      </c>
    </row>
    <row r="208" spans="1:11" x14ac:dyDescent="0.25">
      <c r="A208" s="4"/>
      <c r="B208" s="4"/>
      <c r="C208" s="4"/>
      <c r="D208" s="4"/>
      <c r="E208" s="4" t="s">
        <v>148</v>
      </c>
      <c r="F208" s="4"/>
      <c r="G208" s="16">
        <f t="shared" si="4"/>
        <v>0</v>
      </c>
      <c r="H208" s="17"/>
      <c r="I208" s="14">
        <f>4914+18720</f>
        <v>23634</v>
      </c>
      <c r="J208" s="14">
        <f>4914+18720</f>
        <v>23634</v>
      </c>
      <c r="K208" s="14">
        <v>20000</v>
      </c>
    </row>
    <row r="209" spans="1:11" ht="15.75" thickBot="1" x14ac:dyDescent="0.3">
      <c r="A209" s="4"/>
      <c r="B209" s="4"/>
      <c r="C209" s="4"/>
      <c r="D209" s="4"/>
      <c r="E209" s="4" t="s">
        <v>149</v>
      </c>
      <c r="F209" s="4"/>
      <c r="G209" s="16">
        <v>5068.6499999999996</v>
      </c>
      <c r="H209" s="19">
        <v>925.4</v>
      </c>
      <c r="I209" s="14">
        <v>349.58</v>
      </c>
      <c r="J209" s="14">
        <v>2349.58</v>
      </c>
      <c r="K209" s="14">
        <v>600</v>
      </c>
    </row>
    <row r="210" spans="1:11" ht="15.75" thickBot="1" x14ac:dyDescent="0.3">
      <c r="A210" s="4"/>
      <c r="B210" s="4"/>
      <c r="C210" s="4"/>
      <c r="D210" s="4"/>
      <c r="E210" s="4" t="s">
        <v>150</v>
      </c>
      <c r="F210" s="4"/>
      <c r="G210" s="19">
        <f t="shared" si="4"/>
        <v>0</v>
      </c>
      <c r="H210" s="17"/>
      <c r="I210" s="45">
        <v>0</v>
      </c>
      <c r="J210" s="45">
        <v>0</v>
      </c>
      <c r="K210" s="45">
        <v>700</v>
      </c>
    </row>
    <row r="211" spans="1:11" x14ac:dyDescent="0.25">
      <c r="A211" s="4"/>
      <c r="B211" s="4"/>
      <c r="C211" s="4"/>
      <c r="D211" s="4" t="s">
        <v>151</v>
      </c>
      <c r="E211" s="4"/>
      <c r="F211" s="4"/>
      <c r="G211" s="16">
        <f t="shared" ref="G211" si="8">ROUND(SUM(G202:G209),5)</f>
        <v>5818.65</v>
      </c>
      <c r="H211" s="16">
        <f>ROUND(SUM(H202:H209),5)</f>
        <v>1675.4</v>
      </c>
      <c r="I211" s="16">
        <f t="shared" ref="I211:J211" si="9">ROUND(SUM(I202:I209),5)</f>
        <v>24364.639999999999</v>
      </c>
      <c r="J211" s="16">
        <f t="shared" si="9"/>
        <v>26364.639999999999</v>
      </c>
      <c r="K211" s="16">
        <f t="shared" ref="K211" si="10">ROUND(SUM(K202:K209),5)</f>
        <v>26400</v>
      </c>
    </row>
    <row r="212" spans="1:11" x14ac:dyDescent="0.25">
      <c r="A212" s="4"/>
      <c r="B212" s="4"/>
      <c r="C212" s="4"/>
      <c r="D212" s="4" t="s">
        <v>152</v>
      </c>
      <c r="E212" s="4"/>
      <c r="F212" s="4"/>
      <c r="G212" s="16">
        <f t="shared" si="4"/>
        <v>0</v>
      </c>
      <c r="H212" s="17"/>
      <c r="I212" s="14"/>
      <c r="J212" s="14"/>
    </row>
    <row r="213" spans="1:11" ht="15.75" thickBot="1" x14ac:dyDescent="0.3">
      <c r="A213" s="4"/>
      <c r="B213" s="4"/>
      <c r="C213" s="4"/>
      <c r="D213" s="4"/>
      <c r="E213" s="4" t="s">
        <v>153</v>
      </c>
      <c r="F213" s="4"/>
      <c r="G213" s="19">
        <v>11.93</v>
      </c>
      <c r="H213" s="17">
        <v>15</v>
      </c>
      <c r="I213" s="45">
        <v>107.53</v>
      </c>
      <c r="J213" s="45">
        <v>107.53</v>
      </c>
      <c r="K213" s="45">
        <v>1250</v>
      </c>
    </row>
    <row r="214" spans="1:11" x14ac:dyDescent="0.25">
      <c r="A214" s="4"/>
      <c r="B214" s="4"/>
      <c r="C214" s="4"/>
      <c r="D214" s="4" t="s">
        <v>154</v>
      </c>
      <c r="E214" s="4"/>
      <c r="F214" s="4"/>
      <c r="G214" s="16">
        <v>11.93</v>
      </c>
      <c r="H214" s="17"/>
      <c r="I214" s="14">
        <v>107.53</v>
      </c>
      <c r="J214" s="14">
        <v>107.53</v>
      </c>
      <c r="K214" s="14">
        <v>1250</v>
      </c>
    </row>
    <row r="215" spans="1:11" x14ac:dyDescent="0.25">
      <c r="A215" s="4"/>
      <c r="B215" s="4"/>
      <c r="C215" s="4"/>
      <c r="D215" s="4" t="s">
        <v>155</v>
      </c>
      <c r="E215" s="4"/>
      <c r="F215" s="4"/>
      <c r="G215" s="16">
        <f t="shared" si="4"/>
        <v>0</v>
      </c>
      <c r="H215" s="16"/>
      <c r="I215" s="14"/>
      <c r="J215" s="14"/>
    </row>
    <row r="216" spans="1:11" x14ac:dyDescent="0.25">
      <c r="A216" s="4"/>
      <c r="B216" s="4"/>
      <c r="C216" s="4"/>
      <c r="D216" s="4"/>
      <c r="E216" s="4" t="s">
        <v>156</v>
      </c>
      <c r="F216" s="4"/>
      <c r="G216" s="16">
        <f t="shared" si="4"/>
        <v>0</v>
      </c>
      <c r="H216" s="16"/>
      <c r="I216" s="14"/>
      <c r="J216" s="14"/>
    </row>
    <row r="217" spans="1:11" x14ac:dyDescent="0.25">
      <c r="A217" s="4"/>
      <c r="B217" s="4"/>
      <c r="C217" s="4"/>
      <c r="D217" s="4"/>
      <c r="E217" s="4"/>
      <c r="F217" s="4" t="s">
        <v>157</v>
      </c>
      <c r="G217" s="16">
        <v>1443.43</v>
      </c>
      <c r="H217" s="16">
        <v>1102.51</v>
      </c>
      <c r="I217" s="14">
        <v>952.66</v>
      </c>
      <c r="J217" s="14">
        <f>+I217/7*12</f>
        <v>1633.1314285714286</v>
      </c>
      <c r="K217" s="14">
        <v>2200</v>
      </c>
    </row>
    <row r="218" spans="1:11" x14ac:dyDescent="0.25">
      <c r="A218" s="4"/>
      <c r="B218" s="4"/>
      <c r="C218" s="4"/>
      <c r="D218" s="4"/>
      <c r="E218" s="4"/>
      <c r="F218" s="4" t="s">
        <v>158</v>
      </c>
      <c r="G218" s="16">
        <v>97.9</v>
      </c>
      <c r="H218" s="16">
        <v>56.84</v>
      </c>
      <c r="I218" s="14">
        <v>53.21</v>
      </c>
      <c r="J218" s="14">
        <f t="shared" ref="J218:J222" si="11">+I218/7*12</f>
        <v>91.217142857142861</v>
      </c>
      <c r="K218" s="14">
        <v>240</v>
      </c>
    </row>
    <row r="219" spans="1:11" x14ac:dyDescent="0.25">
      <c r="A219" s="4"/>
      <c r="B219" s="4"/>
      <c r="C219" s="4"/>
      <c r="D219" s="4"/>
      <c r="E219" s="4"/>
      <c r="F219" s="4" t="s">
        <v>159</v>
      </c>
      <c r="G219" s="16">
        <v>3621.49</v>
      </c>
      <c r="H219" s="16">
        <v>1883.52</v>
      </c>
      <c r="I219" s="14">
        <f>2356.21+687.13</f>
        <v>3043.34</v>
      </c>
      <c r="J219" s="14">
        <f t="shared" si="11"/>
        <v>5217.1542857142858</v>
      </c>
      <c r="K219" s="14">
        <v>6000</v>
      </c>
    </row>
    <row r="220" spans="1:11" x14ac:dyDescent="0.25">
      <c r="A220" s="4"/>
      <c r="B220" s="4"/>
      <c r="C220" s="4"/>
      <c r="D220" s="4"/>
      <c r="E220" s="4"/>
      <c r="F220" s="4" t="s">
        <v>160</v>
      </c>
      <c r="G220" s="16">
        <v>408.97</v>
      </c>
      <c r="H220" s="16">
        <v>222.02</v>
      </c>
      <c r="I220" s="14">
        <v>401.22</v>
      </c>
      <c r="J220" s="14">
        <f t="shared" si="11"/>
        <v>687.80571428571432</v>
      </c>
      <c r="K220" s="14">
        <v>600</v>
      </c>
    </row>
    <row r="221" spans="1:11" x14ac:dyDescent="0.25">
      <c r="A221" s="4"/>
      <c r="B221" s="4"/>
      <c r="C221" s="4"/>
      <c r="D221" s="4"/>
      <c r="E221" s="4"/>
      <c r="F221" s="4" t="s">
        <v>161</v>
      </c>
      <c r="G221" s="16">
        <v>3926.32</v>
      </c>
      <c r="H221" s="16">
        <v>2287.2199999999998</v>
      </c>
      <c r="I221" s="14">
        <v>2157.39</v>
      </c>
      <c r="J221" s="14">
        <f t="shared" si="11"/>
        <v>3698.3828571428571</v>
      </c>
      <c r="K221" s="14">
        <v>4000</v>
      </c>
    </row>
    <row r="222" spans="1:11" ht="15.75" thickBot="1" x14ac:dyDescent="0.3">
      <c r="A222" s="4"/>
      <c r="B222" s="4"/>
      <c r="C222" s="4"/>
      <c r="D222" s="4"/>
      <c r="E222" s="4"/>
      <c r="F222" s="4" t="s">
        <v>247</v>
      </c>
      <c r="G222" s="16">
        <v>0</v>
      </c>
      <c r="H222" s="16">
        <v>2287.2199999999998</v>
      </c>
      <c r="I222" s="14">
        <v>101.26</v>
      </c>
      <c r="J222" s="14">
        <f t="shared" si="11"/>
        <v>173.58857142857144</v>
      </c>
      <c r="K222" s="14">
        <v>4000</v>
      </c>
    </row>
    <row r="223" spans="1:11" ht="15.75" thickBot="1" x14ac:dyDescent="0.3">
      <c r="A223" s="4"/>
      <c r="B223" s="4"/>
      <c r="C223" s="4"/>
      <c r="D223" s="4"/>
      <c r="E223" s="4" t="s">
        <v>162</v>
      </c>
      <c r="F223" s="4"/>
      <c r="G223" s="21">
        <f t="shared" ref="G223" si="12">ROUND(SUM(G216:G222),5)</f>
        <v>9498.11</v>
      </c>
      <c r="H223" s="21">
        <f>ROUND(SUM(H216:H222),5)</f>
        <v>7839.33</v>
      </c>
      <c r="I223" s="21">
        <f t="shared" ref="I223:J223" si="13">ROUND(SUM(I216:I222),5)</f>
        <v>6709.08</v>
      </c>
      <c r="J223" s="21">
        <f t="shared" si="13"/>
        <v>11501.28</v>
      </c>
      <c r="K223" s="21">
        <f t="shared" ref="K223" si="14">ROUND(SUM(K216:K222),5)</f>
        <v>17040</v>
      </c>
    </row>
    <row r="224" spans="1:11" ht="15.75" thickBot="1" x14ac:dyDescent="0.3">
      <c r="A224" s="4"/>
      <c r="B224" s="4"/>
      <c r="C224" s="4"/>
      <c r="D224" s="4" t="s">
        <v>163</v>
      </c>
      <c r="E224" s="4"/>
      <c r="F224" s="4"/>
      <c r="G224" s="16">
        <f t="shared" si="4"/>
        <v>0</v>
      </c>
      <c r="H224" s="16">
        <f>ROUND(H215+H223,5)</f>
        <v>7839.33</v>
      </c>
      <c r="I224" s="16">
        <f t="shared" si="4"/>
        <v>13438.851428571426</v>
      </c>
      <c r="J224" s="16">
        <f t="shared" si="4"/>
        <v>23038.031020408162</v>
      </c>
      <c r="K224" s="16">
        <f>+I224/7*12</f>
        <v>23038.031020408162</v>
      </c>
    </row>
    <row r="225" spans="1:11" ht="15.75" thickBot="1" x14ac:dyDescent="0.3">
      <c r="A225" s="4"/>
      <c r="B225" s="4"/>
      <c r="C225" s="4" t="s">
        <v>165</v>
      </c>
      <c r="D225" s="4"/>
      <c r="E225" s="4"/>
      <c r="F225" s="4"/>
      <c r="G225" s="22">
        <f>ROUND(SUM(G105:G108)+G151+SUM(G112:G116)+SUM(G117:G117)+SUM(G180:G197)+G211+SUM(G224:G224),5)</f>
        <v>868284.02</v>
      </c>
      <c r="H225" s="22">
        <f>ROUND(SUM(H105:H108)+H151+SUM(H112:H116)+SUM(H117:H117)+SUM(H180:H197)+H211+SUM(H224:H224),5)</f>
        <v>269922.78000000003</v>
      </c>
      <c r="I225" s="22">
        <f>ROUND(SUM(I105:I108)+I151+SUM(I112:I116)+SUM(I117:I117)+SUM(I180:I197)+I211+SUM(I224:I224),5)</f>
        <v>732924.09143000003</v>
      </c>
      <c r="J225" s="22">
        <f>ROUND(SUM(J105:J108)+J151+SUM(J112:J116)+SUM(J117:J117)+SUM(J180:J197)+J211+SUM(J224:J224),5)</f>
        <v>1179847.7553099999</v>
      </c>
      <c r="K225" s="22">
        <f>ROUND(SUM(K105:K108)+K151+SUM(K112:K116)+SUM(K117:K117)+SUM(K180:K197)+K211+SUM(K224:K224),5)</f>
        <v>1233187.0310200001</v>
      </c>
    </row>
    <row r="226" spans="1:11" ht="15.75" thickBot="1" x14ac:dyDescent="0.3">
      <c r="A226" s="4" t="s">
        <v>166</v>
      </c>
      <c r="B226" s="4"/>
      <c r="C226" s="4"/>
      <c r="D226" s="4"/>
      <c r="E226" s="4"/>
      <c r="F226" s="4"/>
      <c r="G226" s="22">
        <f>ROUND(G17+G102-G225,5)</f>
        <v>-21188.77</v>
      </c>
      <c r="H226" s="22">
        <f>ROUND(H17+H102-H225,5)</f>
        <v>38391.14</v>
      </c>
      <c r="I226" s="22">
        <f>ROUND(I17+I102-I225,5)</f>
        <v>112386.56857</v>
      </c>
      <c r="J226" s="22">
        <f>ROUND(J17+J102-J225,5)</f>
        <v>141394.51183</v>
      </c>
      <c r="K226" s="22">
        <f>ROUND(K17+K102-K225,5)</f>
        <v>95912.968980000005</v>
      </c>
    </row>
    <row r="227" spans="1:11" ht="15.75" thickBot="1" x14ac:dyDescent="0.3">
      <c r="A227" s="4"/>
      <c r="B227" s="4"/>
      <c r="C227" s="4"/>
      <c r="D227" s="4"/>
      <c r="E227" s="4"/>
      <c r="F227" s="4"/>
      <c r="G227" s="23">
        <f>G226</f>
        <v>-21188.77</v>
      </c>
      <c r="H227" s="23">
        <f>H226</f>
        <v>38391.14</v>
      </c>
      <c r="I227" s="23">
        <f>I226</f>
        <v>112386.56857</v>
      </c>
      <c r="J227" s="23">
        <f>J226</f>
        <v>141394.51183</v>
      </c>
      <c r="K227" s="23">
        <f>K226</f>
        <v>95912.968980000005</v>
      </c>
    </row>
    <row r="228" spans="1:11" ht="15.75" thickTop="1" x14ac:dyDescent="0.25"/>
    <row r="232" spans="1:11" s="1" customFormat="1" ht="14.25" x14ac:dyDescent="0.2">
      <c r="K232" s="16"/>
    </row>
  </sheetData>
  <printOptions gridLines="1"/>
  <pageMargins left="0.45" right="0.2" top="0.25" bottom="0.25" header="0.3" footer="0.3"/>
  <pageSetup orientation="portrait" horizontalDpi="203" verticalDpi="203" r:id="rId1"/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15</xdr:row>
                <xdr:rowOff>0</xdr:rowOff>
              </from>
              <to>
                <xdr:col>4</xdr:col>
                <xdr:colOff>114300</xdr:colOff>
                <xdr:row>16</xdr:row>
                <xdr:rowOff>38100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15</xdr:row>
                <xdr:rowOff>0</xdr:rowOff>
              </from>
              <to>
                <xdr:col>4</xdr:col>
                <xdr:colOff>114300</xdr:colOff>
                <xdr:row>16</xdr:row>
                <xdr:rowOff>38100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DDCDC-E149-4680-AA74-B84B262A9F33}">
  <dimension ref="A1:F67"/>
  <sheetViews>
    <sheetView workbookViewId="0">
      <selection activeCell="G1" sqref="G1:K1048576"/>
    </sheetView>
  </sheetViews>
  <sheetFormatPr defaultRowHeight="15" x14ac:dyDescent="0.25"/>
  <cols>
    <col min="1" max="1" width="36.28515625" customWidth="1"/>
    <col min="2" max="2" width="15" customWidth="1"/>
    <col min="3" max="3" width="3.85546875" customWidth="1"/>
    <col min="4" max="4" width="15.42578125" customWidth="1"/>
    <col min="5" max="5" width="2.5703125" customWidth="1"/>
    <col min="6" max="6" width="15.140625" customWidth="1"/>
  </cols>
  <sheetData>
    <row r="1" spans="1:6" x14ac:dyDescent="0.25">
      <c r="A1" s="6"/>
      <c r="B1" s="35" t="s">
        <v>193</v>
      </c>
      <c r="C1" s="35"/>
      <c r="D1" s="6"/>
      <c r="F1" s="6"/>
    </row>
    <row r="2" spans="1:6" x14ac:dyDescent="0.25">
      <c r="A2" s="6"/>
      <c r="B2" s="35" t="s">
        <v>194</v>
      </c>
      <c r="C2" s="35"/>
      <c r="D2" s="6"/>
      <c r="F2" s="6"/>
    </row>
    <row r="3" spans="1:6" x14ac:dyDescent="0.25">
      <c r="A3" s="6"/>
      <c r="B3" s="35" t="s">
        <v>195</v>
      </c>
      <c r="C3" s="35"/>
      <c r="D3" s="6"/>
      <c r="F3" s="6"/>
    </row>
    <row r="4" spans="1:6" x14ac:dyDescent="0.25">
      <c r="A4" s="6"/>
      <c r="B4" s="6"/>
      <c r="D4" s="6"/>
      <c r="F4" s="6"/>
    </row>
    <row r="5" spans="1:6" ht="20.25" x14ac:dyDescent="0.3">
      <c r="A5" s="6"/>
      <c r="B5" s="36" t="s">
        <v>257</v>
      </c>
      <c r="C5" s="35"/>
      <c r="D5" s="7"/>
      <c r="F5" s="6"/>
    </row>
    <row r="6" spans="1:6" x14ac:dyDescent="0.25">
      <c r="A6" s="6"/>
      <c r="B6" s="35">
        <v>2022</v>
      </c>
      <c r="C6" s="37"/>
      <c r="D6" s="35">
        <v>2023</v>
      </c>
      <c r="F6" s="35">
        <v>2024</v>
      </c>
    </row>
    <row r="7" spans="1:6" x14ac:dyDescent="0.25">
      <c r="A7" s="6"/>
      <c r="B7" s="35" t="s">
        <v>171</v>
      </c>
      <c r="C7" s="35"/>
      <c r="D7" s="35" t="s">
        <v>196</v>
      </c>
      <c r="E7" s="35"/>
      <c r="F7" s="35" t="s">
        <v>173</v>
      </c>
    </row>
    <row r="8" spans="1:6" x14ac:dyDescent="0.25">
      <c r="A8" s="6"/>
      <c r="B8" s="6"/>
      <c r="D8" s="6"/>
      <c r="F8" s="6"/>
    </row>
    <row r="9" spans="1:6" x14ac:dyDescent="0.25">
      <c r="A9" s="38" t="s">
        <v>197</v>
      </c>
      <c r="B9" s="39">
        <f>SUM(B10:B12)</f>
        <v>113653.72</v>
      </c>
      <c r="C9" s="40"/>
      <c r="D9" s="39">
        <f>SUM(D10:D12)</f>
        <v>96904.56</v>
      </c>
      <c r="E9" s="40"/>
      <c r="F9" s="39">
        <f>SUM(F10:F12)</f>
        <v>99506</v>
      </c>
    </row>
    <row r="10" spans="1:6" x14ac:dyDescent="0.25">
      <c r="A10" s="6" t="s">
        <v>198</v>
      </c>
      <c r="B10" s="41">
        <v>6928.06</v>
      </c>
      <c r="D10" s="41">
        <v>6936.63</v>
      </c>
      <c r="F10" s="41">
        <v>6956</v>
      </c>
    </row>
    <row r="11" spans="1:6" x14ac:dyDescent="0.25">
      <c r="A11" s="6" t="s">
        <v>199</v>
      </c>
      <c r="B11" s="41">
        <v>6609.77</v>
      </c>
      <c r="D11" s="41">
        <v>6617.93</v>
      </c>
      <c r="F11" s="41">
        <v>6700</v>
      </c>
    </row>
    <row r="12" spans="1:6" x14ac:dyDescent="0.25">
      <c r="A12" s="6" t="s">
        <v>200</v>
      </c>
      <c r="B12" s="41">
        <v>100115.89</v>
      </c>
      <c r="D12" s="41">
        <v>83350</v>
      </c>
      <c r="F12" s="41">
        <v>85850</v>
      </c>
    </row>
    <row r="13" spans="1:6" x14ac:dyDescent="0.25">
      <c r="A13" s="6" t="s">
        <v>201</v>
      </c>
      <c r="B13" s="42">
        <v>6516.23</v>
      </c>
      <c r="D13" s="42">
        <v>6900</v>
      </c>
      <c r="F13" s="42">
        <v>7300</v>
      </c>
    </row>
    <row r="14" spans="1:6" x14ac:dyDescent="0.25">
      <c r="A14" s="38" t="s">
        <v>1</v>
      </c>
      <c r="B14" s="43">
        <f>SUM(B15:B22)</f>
        <v>324846.71000000002</v>
      </c>
      <c r="D14" s="43">
        <f>SUM(D15:D22)</f>
        <v>340805</v>
      </c>
      <c r="F14" s="43">
        <f>SUM(F15:F22)</f>
        <v>359600</v>
      </c>
    </row>
    <row r="15" spans="1:6" x14ac:dyDescent="0.25">
      <c r="A15" s="6" t="s">
        <v>202</v>
      </c>
      <c r="B15" s="42">
        <v>313533.14</v>
      </c>
      <c r="D15" s="42">
        <v>315000</v>
      </c>
      <c r="F15" s="42">
        <v>320000</v>
      </c>
    </row>
    <row r="16" spans="1:6" x14ac:dyDescent="0.25">
      <c r="A16" s="6" t="s">
        <v>203</v>
      </c>
      <c r="B16" s="42">
        <v>0</v>
      </c>
      <c r="D16" s="42">
        <v>2800</v>
      </c>
      <c r="F16" s="42">
        <v>2000</v>
      </c>
    </row>
    <row r="17" spans="1:6" x14ac:dyDescent="0.25">
      <c r="A17" s="6" t="s">
        <v>204</v>
      </c>
      <c r="B17" s="42">
        <v>5050</v>
      </c>
      <c r="D17" s="42">
        <v>10200</v>
      </c>
      <c r="F17" s="42">
        <f>17*1200</f>
        <v>20400</v>
      </c>
    </row>
    <row r="18" spans="1:6" x14ac:dyDescent="0.25">
      <c r="A18" s="6" t="s">
        <v>205</v>
      </c>
      <c r="B18" s="42">
        <v>35</v>
      </c>
      <c r="D18" s="42">
        <v>105</v>
      </c>
      <c r="F18" s="42">
        <v>200</v>
      </c>
    </row>
    <row r="19" spans="1:6" x14ac:dyDescent="0.25">
      <c r="A19" s="6" t="s">
        <v>206</v>
      </c>
      <c r="B19" s="42">
        <v>2000</v>
      </c>
      <c r="D19" s="42">
        <v>500</v>
      </c>
      <c r="F19" s="42">
        <f>500*17</f>
        <v>8500</v>
      </c>
    </row>
    <row r="20" spans="1:6" x14ac:dyDescent="0.25">
      <c r="A20" s="6" t="s">
        <v>207</v>
      </c>
      <c r="B20" s="42">
        <v>4191.1099999999997</v>
      </c>
      <c r="D20" s="42">
        <v>11700</v>
      </c>
      <c r="F20" s="42">
        <v>8000</v>
      </c>
    </row>
    <row r="21" spans="1:6" x14ac:dyDescent="0.25">
      <c r="A21" s="6" t="s">
        <v>208</v>
      </c>
      <c r="B21" s="42">
        <v>37.46</v>
      </c>
      <c r="D21" s="42">
        <v>500</v>
      </c>
      <c r="F21" s="42">
        <v>500</v>
      </c>
    </row>
    <row r="22" spans="1:6" x14ac:dyDescent="0.25">
      <c r="A22" s="6" t="s">
        <v>209</v>
      </c>
      <c r="B22" s="42">
        <v>0</v>
      </c>
      <c r="D22" s="42">
        <v>0</v>
      </c>
      <c r="F22" s="42">
        <v>0</v>
      </c>
    </row>
    <row r="23" spans="1:6" x14ac:dyDescent="0.25">
      <c r="A23" s="6" t="s">
        <v>210</v>
      </c>
      <c r="B23" s="42">
        <v>450.39</v>
      </c>
      <c r="D23" s="42">
        <f>2500.82/7*12</f>
        <v>4287.1200000000008</v>
      </c>
      <c r="F23" s="42">
        <v>4500</v>
      </c>
    </row>
    <row r="24" spans="1:6" x14ac:dyDescent="0.25">
      <c r="A24" s="6"/>
      <c r="B24" s="42"/>
      <c r="D24" s="42"/>
      <c r="F24" s="42"/>
    </row>
    <row r="25" spans="1:6" x14ac:dyDescent="0.25">
      <c r="A25" s="38" t="s">
        <v>211</v>
      </c>
      <c r="B25" s="43">
        <f>SUM(B26:B28)</f>
        <v>261195.50999999998</v>
      </c>
      <c r="C25" s="40"/>
      <c r="D25" s="43">
        <f>SUM(D26:D28)</f>
        <v>304995.51</v>
      </c>
      <c r="E25" s="40"/>
      <c r="F25" s="43">
        <f>SUM(F26:F28)</f>
        <v>274865.94</v>
      </c>
    </row>
    <row r="26" spans="1:6" x14ac:dyDescent="0.25">
      <c r="A26" s="6" t="s">
        <v>259</v>
      </c>
      <c r="B26" s="42">
        <f>24741.94+883.74</f>
        <v>25625.68</v>
      </c>
      <c r="D26" s="42">
        <v>66625.679999999993</v>
      </c>
      <c r="F26" s="42">
        <f>24741.94+124</f>
        <v>24865.94</v>
      </c>
    </row>
    <row r="27" spans="1:6" x14ac:dyDescent="0.25">
      <c r="A27" s="6" t="s">
        <v>265</v>
      </c>
      <c r="B27" s="42">
        <v>235569.83</v>
      </c>
      <c r="D27" s="42">
        <f>235569.83+2800</f>
        <v>238369.83</v>
      </c>
      <c r="F27" s="42">
        <v>250000</v>
      </c>
    </row>
    <row r="28" spans="1:6" x14ac:dyDescent="0.25">
      <c r="A28" s="6" t="s">
        <v>212</v>
      </c>
      <c r="B28" s="42">
        <v>0</v>
      </c>
      <c r="D28" s="42">
        <v>0</v>
      </c>
      <c r="F28" s="42">
        <v>0</v>
      </c>
    </row>
    <row r="29" spans="1:6" x14ac:dyDescent="0.25">
      <c r="A29" s="6"/>
      <c r="B29" s="42"/>
      <c r="D29" s="42"/>
      <c r="F29" s="42"/>
    </row>
    <row r="30" spans="1:6" x14ac:dyDescent="0.25">
      <c r="A30" s="6" t="s">
        <v>213</v>
      </c>
      <c r="B30" s="42">
        <v>294565.3</v>
      </c>
      <c r="D30" s="42">
        <v>0</v>
      </c>
      <c r="F30" s="42">
        <v>0</v>
      </c>
    </row>
    <row r="31" spans="1:6" x14ac:dyDescent="0.25">
      <c r="A31" s="6"/>
      <c r="B31" s="42"/>
      <c r="D31" s="42"/>
      <c r="F31" s="42"/>
    </row>
    <row r="32" spans="1:6" x14ac:dyDescent="0.25">
      <c r="A32" s="38" t="s">
        <v>77</v>
      </c>
      <c r="B32" s="43">
        <f>+B9+B14+B23+B25+B30</f>
        <v>994711.63000000012</v>
      </c>
      <c r="C32" s="40"/>
      <c r="D32" s="43">
        <f>+D9+D14+D25+D30</f>
        <v>742705.07000000007</v>
      </c>
      <c r="E32" s="40"/>
      <c r="F32" s="43">
        <f>+F9+F14+F25+F30</f>
        <v>733971.94</v>
      </c>
    </row>
    <row r="33" spans="1:6" x14ac:dyDescent="0.25">
      <c r="A33" s="6"/>
      <c r="B33" s="42"/>
      <c r="D33" s="42"/>
      <c r="F33" s="42"/>
    </row>
    <row r="34" spans="1:6" x14ac:dyDescent="0.25">
      <c r="A34" s="38" t="s">
        <v>214</v>
      </c>
      <c r="B34" s="42"/>
      <c r="D34" s="42"/>
      <c r="F34" s="42"/>
    </row>
    <row r="35" spans="1:6" x14ac:dyDescent="0.25">
      <c r="A35" s="6"/>
      <c r="B35" s="42"/>
      <c r="D35" s="42"/>
      <c r="F35" s="42"/>
    </row>
    <row r="36" spans="1:6" x14ac:dyDescent="0.25">
      <c r="A36" s="6" t="s">
        <v>215</v>
      </c>
      <c r="B36" s="42">
        <v>0</v>
      </c>
      <c r="D36" s="42">
        <f>82.42*12</f>
        <v>989.04</v>
      </c>
      <c r="F36" s="42">
        <v>8000</v>
      </c>
    </row>
    <row r="37" spans="1:6" x14ac:dyDescent="0.25">
      <c r="A37" s="6" t="s">
        <v>232</v>
      </c>
      <c r="B37" s="42">
        <v>0</v>
      </c>
      <c r="D37" s="42">
        <v>200</v>
      </c>
      <c r="F37" s="42">
        <v>200</v>
      </c>
    </row>
    <row r="38" spans="1:6" x14ac:dyDescent="0.25">
      <c r="A38" s="6" t="s">
        <v>261</v>
      </c>
      <c r="B38" s="42">
        <f>90*7</f>
        <v>630</v>
      </c>
      <c r="D38" s="42">
        <f>90*12</f>
        <v>1080</v>
      </c>
      <c r="F38" s="42">
        <v>1080</v>
      </c>
    </row>
    <row r="39" spans="1:6" x14ac:dyDescent="0.25">
      <c r="A39" s="6" t="s">
        <v>270</v>
      </c>
      <c r="B39" s="42">
        <v>0</v>
      </c>
      <c r="D39" s="42">
        <f>360+145</f>
        <v>505</v>
      </c>
      <c r="F39" s="42">
        <f>90*12</f>
        <v>1080</v>
      </c>
    </row>
    <row r="40" spans="1:6" x14ac:dyDescent="0.25">
      <c r="A40" s="6" t="s">
        <v>231</v>
      </c>
      <c r="B40" s="42">
        <v>35</v>
      </c>
      <c r="D40" s="42">
        <v>60</v>
      </c>
      <c r="F40" s="42">
        <v>60</v>
      </c>
    </row>
    <row r="41" spans="1:6" x14ac:dyDescent="0.25">
      <c r="A41" s="6" t="s">
        <v>227</v>
      </c>
      <c r="B41" s="42">
        <v>300</v>
      </c>
      <c r="D41" s="42">
        <v>400</v>
      </c>
      <c r="F41" s="42">
        <v>400</v>
      </c>
    </row>
    <row r="42" spans="1:6" x14ac:dyDescent="0.25">
      <c r="A42" s="6" t="s">
        <v>216</v>
      </c>
      <c r="B42" s="42">
        <f>3057+2492.8-646.8</f>
        <v>4903</v>
      </c>
      <c r="D42" s="42">
        <v>4500</v>
      </c>
      <c r="F42" s="42">
        <v>4500</v>
      </c>
    </row>
    <row r="43" spans="1:6" x14ac:dyDescent="0.25">
      <c r="A43" s="6" t="s">
        <v>217</v>
      </c>
      <c r="B43" s="42">
        <v>5243.21</v>
      </c>
      <c r="D43" s="42">
        <v>2119.0300000000002</v>
      </c>
      <c r="F43" s="42">
        <v>5000</v>
      </c>
    </row>
    <row r="44" spans="1:6" x14ac:dyDescent="0.25">
      <c r="A44" s="6" t="s">
        <v>218</v>
      </c>
      <c r="B44" s="42">
        <v>0</v>
      </c>
      <c r="D44" s="42">
        <v>0</v>
      </c>
      <c r="F44" s="42">
        <v>0</v>
      </c>
    </row>
    <row r="45" spans="1:6" x14ac:dyDescent="0.25">
      <c r="A45" s="6" t="s">
        <v>260</v>
      </c>
      <c r="B45" s="42">
        <v>8760</v>
      </c>
      <c r="D45" s="42">
        <v>0</v>
      </c>
      <c r="F45" s="42">
        <v>0</v>
      </c>
    </row>
    <row r="46" spans="1:6" x14ac:dyDescent="0.25">
      <c r="A46" s="6" t="s">
        <v>219</v>
      </c>
      <c r="B46" s="42">
        <v>44425</v>
      </c>
      <c r="D46" s="42">
        <v>0</v>
      </c>
      <c r="F46" s="42">
        <v>0</v>
      </c>
    </row>
    <row r="47" spans="1:6" x14ac:dyDescent="0.25">
      <c r="A47" s="6"/>
      <c r="B47" s="42"/>
      <c r="D47" s="42"/>
      <c r="F47" s="42"/>
    </row>
    <row r="48" spans="1:6" x14ac:dyDescent="0.25">
      <c r="A48" s="6"/>
      <c r="B48" s="35">
        <v>2022</v>
      </c>
      <c r="C48" s="37"/>
      <c r="D48" s="35">
        <v>2023</v>
      </c>
      <c r="F48" s="35">
        <v>2024</v>
      </c>
    </row>
    <row r="49" spans="1:6" x14ac:dyDescent="0.25">
      <c r="A49" s="6"/>
      <c r="B49" s="35" t="s">
        <v>171</v>
      </c>
      <c r="C49" s="35"/>
      <c r="D49" s="35" t="s">
        <v>196</v>
      </c>
      <c r="E49" s="35"/>
      <c r="F49" s="35" t="s">
        <v>173</v>
      </c>
    </row>
    <row r="50" spans="1:6" x14ac:dyDescent="0.25">
      <c r="A50" s="6"/>
      <c r="B50" s="42"/>
      <c r="D50" s="42"/>
      <c r="F50" s="42"/>
    </row>
    <row r="51" spans="1:6" x14ac:dyDescent="0.25">
      <c r="A51" s="6" t="s">
        <v>220</v>
      </c>
      <c r="B51" s="42">
        <v>1350</v>
      </c>
      <c r="D51" s="42">
        <v>1750</v>
      </c>
      <c r="F51" s="42">
        <v>2200</v>
      </c>
    </row>
    <row r="52" spans="1:6" x14ac:dyDescent="0.25">
      <c r="A52" s="6" t="s">
        <v>229</v>
      </c>
      <c r="B52" s="42">
        <v>1038</v>
      </c>
      <c r="D52" s="42">
        <v>0</v>
      </c>
      <c r="F52" s="42">
        <v>0</v>
      </c>
    </row>
    <row r="53" spans="1:6" x14ac:dyDescent="0.25">
      <c r="A53" s="6" t="s">
        <v>228</v>
      </c>
      <c r="B53" s="42">
        <f>6096.71+3450.9+814.36</f>
        <v>10361.970000000001</v>
      </c>
      <c r="D53" s="42">
        <f>7902.02+516.41+559.77</f>
        <v>8978.2000000000007</v>
      </c>
      <c r="F53" s="42">
        <v>20000</v>
      </c>
    </row>
    <row r="54" spans="1:6" x14ac:dyDescent="0.25">
      <c r="A54" s="6" t="s">
        <v>221</v>
      </c>
      <c r="B54" s="42">
        <v>104106.4</v>
      </c>
      <c r="D54" s="42">
        <f>68160.73/7*12</f>
        <v>116846.9657142857</v>
      </c>
      <c r="F54" s="42">
        <v>120000</v>
      </c>
    </row>
    <row r="55" spans="1:6" x14ac:dyDescent="0.25">
      <c r="A55" s="6" t="s">
        <v>222</v>
      </c>
      <c r="B55" s="42">
        <v>2800</v>
      </c>
      <c r="D55" s="42">
        <v>2800</v>
      </c>
      <c r="F55" s="42">
        <v>2800</v>
      </c>
    </row>
    <row r="56" spans="1:6" x14ac:dyDescent="0.25">
      <c r="A56" s="44" t="s">
        <v>223</v>
      </c>
      <c r="B56" s="42">
        <f>5095.06+402.4</f>
        <v>5497.46</v>
      </c>
      <c r="D56" s="42">
        <f>9419.32+3331</f>
        <v>12750.32</v>
      </c>
      <c r="F56" s="42">
        <v>25000</v>
      </c>
    </row>
    <row r="57" spans="1:6" x14ac:dyDescent="0.25">
      <c r="A57" s="44" t="s">
        <v>235</v>
      </c>
      <c r="B57" s="42">
        <v>1000</v>
      </c>
      <c r="D57" s="42">
        <v>7800</v>
      </c>
      <c r="F57" s="42">
        <v>4000</v>
      </c>
    </row>
    <row r="58" spans="1:6" x14ac:dyDescent="0.25">
      <c r="A58" s="6" t="s">
        <v>236</v>
      </c>
      <c r="B58" s="42">
        <v>1800</v>
      </c>
      <c r="D58" s="42">
        <v>300</v>
      </c>
      <c r="F58" s="42">
        <v>3000</v>
      </c>
    </row>
    <row r="59" spans="1:6" x14ac:dyDescent="0.25">
      <c r="A59" s="6" t="s">
        <v>230</v>
      </c>
      <c r="B59" s="42">
        <f>253.56+1672.23+5352.76</f>
        <v>7278.55</v>
      </c>
      <c r="D59" s="42">
        <f>264+462.8+711.61</f>
        <v>1438.4099999999999</v>
      </c>
      <c r="F59" s="42">
        <v>5000</v>
      </c>
    </row>
    <row r="60" spans="1:6" x14ac:dyDescent="0.25">
      <c r="A60" s="6" t="s">
        <v>224</v>
      </c>
      <c r="B60" s="42">
        <v>646.79999999999995</v>
      </c>
      <c r="D60" s="42">
        <v>700</v>
      </c>
      <c r="F60" s="42">
        <v>700</v>
      </c>
    </row>
    <row r="61" spans="1:6" x14ac:dyDescent="0.25">
      <c r="A61" s="6" t="s">
        <v>233</v>
      </c>
      <c r="B61" s="42">
        <v>0</v>
      </c>
      <c r="D61" s="42">
        <v>0</v>
      </c>
      <c r="F61" s="42">
        <v>0</v>
      </c>
    </row>
    <row r="62" spans="1:6" x14ac:dyDescent="0.25">
      <c r="A62" s="6" t="s">
        <v>234</v>
      </c>
      <c r="B62" s="42">
        <v>7</v>
      </c>
      <c r="D62" s="42">
        <v>600</v>
      </c>
      <c r="F62" s="42">
        <v>600</v>
      </c>
    </row>
    <row r="63" spans="1:6" x14ac:dyDescent="0.25">
      <c r="A63" s="6" t="s">
        <v>225</v>
      </c>
      <c r="B63" s="42">
        <v>95145.69</v>
      </c>
      <c r="D63" s="42">
        <f>50472.89/7*12+11000</f>
        <v>97524.954285714281</v>
      </c>
      <c r="F63" s="42">
        <v>100000</v>
      </c>
    </row>
    <row r="64" spans="1:6" x14ac:dyDescent="0.25">
      <c r="A64" s="6"/>
      <c r="B64" s="42"/>
      <c r="D64" s="42"/>
      <c r="F64" s="42"/>
    </row>
    <row r="65" spans="1:6" x14ac:dyDescent="0.25">
      <c r="A65" s="38" t="s">
        <v>226</v>
      </c>
      <c r="B65" s="43">
        <f>SUM(B36:B64)</f>
        <v>297350.07999999996</v>
      </c>
      <c r="C65" s="40"/>
      <c r="D65" s="43">
        <f>SUM(D36:D64)</f>
        <v>263364.92</v>
      </c>
      <c r="E65" s="40"/>
      <c r="F65" s="43">
        <f>SUM(F36:F64)</f>
        <v>305644</v>
      </c>
    </row>
    <row r="66" spans="1:6" x14ac:dyDescent="0.25">
      <c r="A66" s="38"/>
      <c r="B66" s="43"/>
      <c r="C66" s="40"/>
      <c r="D66" s="43"/>
      <c r="E66" s="40"/>
      <c r="F66" s="43"/>
    </row>
    <row r="67" spans="1:6" x14ac:dyDescent="0.25">
      <c r="A67" s="38" t="s">
        <v>182</v>
      </c>
      <c r="B67" s="43">
        <f>+B32-B65</f>
        <v>697361.55000000016</v>
      </c>
      <c r="C67" s="40"/>
      <c r="D67" s="43">
        <f>+D32-D65</f>
        <v>479340.15000000008</v>
      </c>
      <c r="E67" s="40"/>
      <c r="F67" s="43">
        <f>+F32-F65</f>
        <v>428327.93999999994</v>
      </c>
    </row>
  </sheetData>
  <printOptions gridLines="1"/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EFB49-39F7-458B-98F7-5AF688531E92}">
  <dimension ref="A1:G19"/>
  <sheetViews>
    <sheetView tabSelected="1" workbookViewId="0">
      <selection activeCell="C20" sqref="C20"/>
    </sheetView>
  </sheetViews>
  <sheetFormatPr defaultRowHeight="15" x14ac:dyDescent="0.25"/>
  <cols>
    <col min="2" max="2" width="15.5703125" customWidth="1"/>
    <col min="3" max="3" width="10" bestFit="1" customWidth="1"/>
    <col min="4" max="5" width="11.5703125" bestFit="1" customWidth="1"/>
    <col min="6" max="6" width="10" bestFit="1" customWidth="1"/>
    <col min="7" max="7" width="11.5703125" bestFit="1" customWidth="1"/>
  </cols>
  <sheetData>
    <row r="1" spans="1:7" x14ac:dyDescent="0.25">
      <c r="D1" t="s">
        <v>245</v>
      </c>
    </row>
    <row r="2" spans="1:7" x14ac:dyDescent="0.25">
      <c r="D2" s="48">
        <f>SUM(D4:D13)</f>
        <v>278080</v>
      </c>
      <c r="E2" s="49"/>
      <c r="F2" s="48"/>
      <c r="G2" s="49"/>
    </row>
    <row r="3" spans="1:7" x14ac:dyDescent="0.25">
      <c r="A3" t="s">
        <v>246</v>
      </c>
      <c r="C3" s="48">
        <f>SUM(D4:D7)</f>
        <v>197600</v>
      </c>
    </row>
    <row r="4" spans="1:7" x14ac:dyDescent="0.25">
      <c r="B4" t="s">
        <v>239</v>
      </c>
      <c r="C4">
        <v>30</v>
      </c>
      <c r="D4" s="46">
        <f>30*40*52</f>
        <v>62400</v>
      </c>
    </row>
    <row r="5" spans="1:7" x14ac:dyDescent="0.25">
      <c r="B5" t="s">
        <v>241</v>
      </c>
      <c r="C5">
        <v>21</v>
      </c>
      <c r="D5" s="46">
        <f>21*40*52</f>
        <v>43680</v>
      </c>
    </row>
    <row r="6" spans="1:7" x14ac:dyDescent="0.25">
      <c r="B6" t="s">
        <v>241</v>
      </c>
      <c r="C6">
        <v>21</v>
      </c>
      <c r="D6" s="46">
        <f>21*40*52</f>
        <v>43680</v>
      </c>
    </row>
    <row r="7" spans="1:7" x14ac:dyDescent="0.25">
      <c r="B7" t="s">
        <v>240</v>
      </c>
      <c r="C7">
        <v>23</v>
      </c>
      <c r="D7" s="47">
        <f>23*40*52</f>
        <v>47840</v>
      </c>
    </row>
    <row r="8" spans="1:7" x14ac:dyDescent="0.25">
      <c r="A8" t="s">
        <v>84</v>
      </c>
      <c r="C8" s="48">
        <f>SUM(D9:D13)</f>
        <v>80480</v>
      </c>
    </row>
    <row r="9" spans="1:7" x14ac:dyDescent="0.25">
      <c r="B9" t="s">
        <v>242</v>
      </c>
      <c r="C9">
        <v>17.5</v>
      </c>
      <c r="D9" s="47">
        <f>17.5*40*52</f>
        <v>36400</v>
      </c>
    </row>
    <row r="10" spans="1:7" x14ac:dyDescent="0.25">
      <c r="B10" t="s">
        <v>243</v>
      </c>
      <c r="C10">
        <v>16</v>
      </c>
      <c r="D10" s="47">
        <f>16*40*52</f>
        <v>33280</v>
      </c>
    </row>
    <row r="12" spans="1:7" x14ac:dyDescent="0.25">
      <c r="B12" t="s">
        <v>244</v>
      </c>
      <c r="D12" s="47">
        <f>450*12</f>
        <v>5400</v>
      </c>
    </row>
    <row r="13" spans="1:7" x14ac:dyDescent="0.25">
      <c r="B13" t="s">
        <v>181</v>
      </c>
      <c r="D13" s="47">
        <f>450*12</f>
        <v>5400</v>
      </c>
    </row>
    <row r="16" spans="1:7" x14ac:dyDescent="0.25">
      <c r="A16" t="s">
        <v>247</v>
      </c>
      <c r="D16" s="48">
        <f>SUM(D17:D19)</f>
        <v>107000</v>
      </c>
    </row>
    <row r="17" spans="2:4" x14ac:dyDescent="0.25">
      <c r="B17" t="s">
        <v>248</v>
      </c>
      <c r="C17">
        <v>30</v>
      </c>
      <c r="D17" s="47">
        <f>30*40*52</f>
        <v>62400</v>
      </c>
    </row>
    <row r="18" spans="2:4" x14ac:dyDescent="0.25">
      <c r="B18" t="s">
        <v>249</v>
      </c>
      <c r="C18">
        <v>20</v>
      </c>
      <c r="D18" s="47">
        <f>20*40*52</f>
        <v>41600</v>
      </c>
    </row>
    <row r="19" spans="2:4" x14ac:dyDescent="0.25">
      <c r="B19" t="s">
        <v>262</v>
      </c>
      <c r="C19" t="s">
        <v>271</v>
      </c>
      <c r="D19" s="17">
        <f>250*12</f>
        <v>3000</v>
      </c>
    </row>
  </sheetData>
  <printOptions gridLines="1"/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3FE26-920A-4514-9230-6D80AAB1C449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GF</vt:lpstr>
      <vt:lpstr>WF</vt:lpstr>
      <vt:lpstr>Salaries</vt:lpstr>
      <vt:lpstr>Sheet4</vt:lpstr>
      <vt:lpstr>GF!Print_Titles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 Settlemyer</dc:creator>
  <cp:lastModifiedBy>Sharon Settlemyer</cp:lastModifiedBy>
  <cp:lastPrinted>2023-09-07T13:53:57Z</cp:lastPrinted>
  <dcterms:created xsi:type="dcterms:W3CDTF">2022-07-22T15:03:44Z</dcterms:created>
  <dcterms:modified xsi:type="dcterms:W3CDTF">2023-09-07T20:09:02Z</dcterms:modified>
</cp:coreProperties>
</file>